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234" lockStructure="1"/>
  <bookViews>
    <workbookView xWindow="1245" yWindow="1245" windowWidth="15510" windowHeight="7380" tabRatio="944" firstSheet="3" activeTab="8"/>
  </bookViews>
  <sheets>
    <sheet name="Instructions" sheetId="16" r:id="rId1"/>
    <sheet name="WK0 - IPART use only" sheetId="20" state="hidden" r:id="rId2"/>
    <sheet name="WK1 - Identification" sheetId="13" r:id="rId3"/>
    <sheet name="WK2 - Notional General Income" sheetId="3" r:id="rId4"/>
    <sheet name="WK3 - Notional GI 15-16 YIELD" sheetId="4" r:id="rId5"/>
    <sheet name="WK4 - PGI summary" sheetId="14" r:id="rId6"/>
    <sheet name="WK5a - Impact on Rates" sheetId="15" r:id="rId7"/>
    <sheet name="WK5b - Impact on Rates" sheetId="19" r:id="rId8"/>
    <sheet name="WK6 - Expenditure Program" sheetId="18" r:id="rId9"/>
    <sheet name="WK7 - Long Term Financial Plan" sheetId="21" r:id="rId10"/>
    <sheet name="Sheet1" sheetId="22" r:id="rId11"/>
  </sheets>
  <definedNames>
    <definedName name="_Table1408" localSheetId="1">'WK0 - IPART use only'!$B$176</definedName>
    <definedName name="_Table9034" localSheetId="1">'WK0 - IPART use only'!$B$45</definedName>
    <definedName name="_Table9550" localSheetId="1">'WK0 - IPART use only'!$B$149</definedName>
    <definedName name="_Table9658" localSheetId="1">'WK0 - IPART use only'!$B$189</definedName>
    <definedName name="_Toc340574452" localSheetId="1">'WK0 - IPART use only'!$B$71</definedName>
    <definedName name="_Toc357685633" localSheetId="1">'WK0 - IPART use only'!$B$206</definedName>
    <definedName name="_Toc386531200" localSheetId="1">'WK0 - IPART use only'!$B$12</definedName>
    <definedName name="_Toc386531201" localSheetId="1">'WK0 - IPART use only'!$B$23</definedName>
    <definedName name="_Toc386531203" localSheetId="1">'WK0 - IPART use only'!$B$104</definedName>
    <definedName name="_Toc386531205" localSheetId="1">'WK0 - IPART use only'!$B$119</definedName>
    <definedName name="_Toc386531207" localSheetId="1">'WK0 - IPART use only'!$B$163</definedName>
    <definedName name="_xlnm.Print_Area" localSheetId="0">Instructions!$A$1:$N$251</definedName>
    <definedName name="_xlnm.Print_Area" localSheetId="2">'WK1 - Identification'!$A$1:$Q$98</definedName>
    <definedName name="_xlnm.Print_Area" localSheetId="3">'WK2 - Notional General Income'!$A$1:$M$165</definedName>
    <definedName name="_xlnm.Print_Area" localSheetId="4">'WK3 - Notional GI 15-16 YIELD'!$A$1:$M$168</definedName>
    <definedName name="_xlnm.Print_Area" localSheetId="5">'WK4 - PGI summary'!$A$1:$I$46</definedName>
    <definedName name="_xlnm.Print_Area" localSheetId="6">'WK5a - Impact on Rates'!$B$1:$AN$413</definedName>
    <definedName name="_xlnm.Print_Area" localSheetId="7">'WK5b - Impact on Rates'!$B$1:$AU$143</definedName>
    <definedName name="_xlnm.Print_Area" localSheetId="8">'WK6 - Expenditure Program'!$A$1:$N$99</definedName>
    <definedName name="S2_Annual_Charges_Sub_Total" localSheetId="3">'WK2 - Notional General Income'!$L$159</definedName>
    <definedName name="S2_Annual_Charges_Sub_Total">'WK3 - Notional GI 15-16 YIELD'!$L$156</definedName>
    <definedName name="S2_Ordinary_Rates_Sub_Total" localSheetId="3">'WK2 - Notional General Income'!$L$85</definedName>
    <definedName name="S2_Ordinary_Rates_Sub_Total">'WK3 - Notional GI 15-16 YIELD'!$L$83</definedName>
    <definedName name="S2_Special_Rates_Sub_Total" localSheetId="3">'WK2 - Notional General Income'!$L$143</definedName>
    <definedName name="S2_Special_Rates_Sub_Total">'WK3 - Notional GI 15-16 YIELD'!$L$141</definedName>
    <definedName name="Total_First_year_Notional_General_Income_Yield">'WK3 - Notional GI 15-16 YIELD'!$K$159</definedName>
    <definedName name="Total_Prior_year_Notional_General_Income">'WK2 - Notional General Income'!$K$162</definedName>
  </definedNames>
  <calcPr calcId="145621"/>
</workbook>
</file>

<file path=xl/calcChain.xml><?xml version="1.0" encoding="utf-8"?>
<calcChain xmlns="http://schemas.openxmlformats.org/spreadsheetml/2006/main">
  <c r="G115" i="15" l="1"/>
  <c r="H115" i="15"/>
  <c r="I115" i="15" s="1"/>
  <c r="J115" i="15" s="1"/>
  <c r="K115" i="15" s="1"/>
  <c r="L115" i="15" s="1"/>
  <c r="G81" i="19" l="1"/>
  <c r="G80" i="19"/>
  <c r="G79" i="19"/>
  <c r="G78" i="19"/>
  <c r="G77" i="19"/>
  <c r="G76" i="19"/>
  <c r="G75" i="19"/>
  <c r="G74" i="19"/>
  <c r="G73" i="19"/>
  <c r="G72" i="19"/>
  <c r="G71" i="19"/>
  <c r="G70" i="19"/>
  <c r="G69" i="19"/>
  <c r="G68" i="19"/>
  <c r="G60" i="19"/>
  <c r="G59" i="19"/>
  <c r="G58" i="19"/>
  <c r="G57" i="19"/>
  <c r="G56" i="19"/>
  <c r="G55" i="19"/>
  <c r="G54" i="19"/>
  <c r="G53" i="19"/>
  <c r="G52" i="19"/>
  <c r="G51" i="19"/>
  <c r="G50" i="19"/>
  <c r="G49" i="19"/>
  <c r="G48" i="19"/>
  <c r="G47" i="19"/>
  <c r="G28" i="19"/>
  <c r="G29" i="19"/>
  <c r="G30" i="19"/>
  <c r="G31" i="19"/>
  <c r="G32" i="19"/>
  <c r="G33" i="19"/>
  <c r="G34" i="19"/>
  <c r="G35" i="19"/>
  <c r="G36" i="19"/>
  <c r="G37" i="19"/>
  <c r="G38" i="19"/>
  <c r="G39" i="19"/>
  <c r="G40" i="19"/>
  <c r="G27" i="19"/>
  <c r="H42" i="21" l="1"/>
  <c r="I42" i="21"/>
  <c r="J42" i="21"/>
  <c r="K42" i="21"/>
  <c r="L42" i="21"/>
  <c r="M42" i="21"/>
  <c r="N42" i="21"/>
  <c r="G42" i="21"/>
  <c r="F128" i="21" l="1"/>
  <c r="G128" i="21"/>
  <c r="H128" i="21"/>
  <c r="I128" i="21"/>
  <c r="J128" i="21"/>
  <c r="K128" i="21"/>
  <c r="L128" i="21"/>
  <c r="M128" i="21"/>
  <c r="N128" i="21"/>
  <c r="F129" i="21"/>
  <c r="G129" i="21"/>
  <c r="H129" i="21"/>
  <c r="I129" i="21"/>
  <c r="J129" i="21"/>
  <c r="K129" i="21"/>
  <c r="L129" i="21"/>
  <c r="M129" i="21"/>
  <c r="N129" i="21"/>
  <c r="E129" i="21"/>
  <c r="E128" i="21"/>
  <c r="N135" i="21"/>
  <c r="M135" i="21"/>
  <c r="L135" i="21"/>
  <c r="K135" i="21"/>
  <c r="K134" i="21" s="1"/>
  <c r="J135" i="21"/>
  <c r="J134" i="21" s="1"/>
  <c r="I135" i="21"/>
  <c r="H135" i="21"/>
  <c r="G135" i="21"/>
  <c r="F135" i="21"/>
  <c r="E135" i="21"/>
  <c r="F134" i="21"/>
  <c r="G134" i="21"/>
  <c r="H134" i="21"/>
  <c r="I134" i="21"/>
  <c r="L134" i="21"/>
  <c r="M134" i="21"/>
  <c r="N134" i="21"/>
  <c r="E134" i="21"/>
  <c r="F131" i="21"/>
  <c r="G131" i="21"/>
  <c r="H131" i="21"/>
  <c r="I131" i="21"/>
  <c r="J131" i="21"/>
  <c r="K131" i="21"/>
  <c r="L131" i="21"/>
  <c r="M131" i="21"/>
  <c r="N131" i="21"/>
  <c r="E131" i="21"/>
  <c r="N40" i="21"/>
  <c r="M40" i="21"/>
  <c r="L40" i="21"/>
  <c r="K40" i="21"/>
  <c r="J40" i="21"/>
  <c r="I40" i="21"/>
  <c r="H40" i="21"/>
  <c r="G40" i="21"/>
  <c r="F40" i="21"/>
  <c r="E40" i="21"/>
  <c r="E41" i="21"/>
  <c r="F41" i="21"/>
  <c r="G41" i="21"/>
  <c r="H41" i="21"/>
  <c r="I41" i="21"/>
  <c r="J41" i="21"/>
  <c r="K41" i="21"/>
  <c r="L41" i="21"/>
  <c r="M41" i="21"/>
  <c r="N41" i="21"/>
  <c r="E42" i="21"/>
  <c r="F42" i="21"/>
  <c r="E43" i="21"/>
  <c r="F43" i="21"/>
  <c r="G43" i="21"/>
  <c r="H43" i="21"/>
  <c r="I43" i="21"/>
  <c r="J43" i="21"/>
  <c r="K43" i="21"/>
  <c r="L43" i="21"/>
  <c r="M43" i="21"/>
  <c r="N43" i="21"/>
  <c r="E44" i="21"/>
  <c r="F44" i="21"/>
  <c r="G44" i="21"/>
  <c r="H44" i="21"/>
  <c r="I44" i="21"/>
  <c r="J44" i="21"/>
  <c r="K44" i="21"/>
  <c r="L44" i="21"/>
  <c r="M44" i="21"/>
  <c r="N44" i="21"/>
  <c r="E39" i="21"/>
  <c r="F39" i="21"/>
  <c r="G39" i="21"/>
  <c r="H39" i="21"/>
  <c r="I39" i="21"/>
  <c r="J39" i="21"/>
  <c r="K39" i="21"/>
  <c r="L39" i="21"/>
  <c r="M39" i="21"/>
  <c r="N39" i="21"/>
  <c r="N26" i="21"/>
  <c r="M26" i="21"/>
  <c r="L26" i="21"/>
  <c r="K26" i="21"/>
  <c r="J26" i="21"/>
  <c r="I26" i="21"/>
  <c r="H26" i="21"/>
  <c r="G26" i="21"/>
  <c r="D40" i="21"/>
  <c r="D41" i="21"/>
  <c r="D42" i="21"/>
  <c r="D43" i="21"/>
  <c r="D44" i="21"/>
  <c r="D39" i="21"/>
  <c r="E27" i="21"/>
  <c r="F27" i="21"/>
  <c r="G27" i="21"/>
  <c r="H27" i="21"/>
  <c r="I27" i="21"/>
  <c r="J27" i="21"/>
  <c r="K27" i="21"/>
  <c r="L27" i="21"/>
  <c r="M27" i="21"/>
  <c r="N27" i="21"/>
  <c r="E28" i="21"/>
  <c r="F28" i="21"/>
  <c r="G28" i="21"/>
  <c r="H28" i="21"/>
  <c r="I28" i="21"/>
  <c r="J28" i="21"/>
  <c r="K28" i="21"/>
  <c r="L28" i="21"/>
  <c r="M28" i="21"/>
  <c r="N28" i="21"/>
  <c r="E29" i="21"/>
  <c r="F29" i="21"/>
  <c r="G29" i="21"/>
  <c r="H29" i="21"/>
  <c r="I29" i="21"/>
  <c r="J29" i="21"/>
  <c r="K29" i="21"/>
  <c r="L29" i="21"/>
  <c r="M29" i="21"/>
  <c r="N29" i="21"/>
  <c r="E30" i="21"/>
  <c r="F30" i="21"/>
  <c r="G30" i="21"/>
  <c r="H30" i="21"/>
  <c r="I30" i="21"/>
  <c r="J30" i="21"/>
  <c r="K30" i="21"/>
  <c r="L30" i="21"/>
  <c r="M30" i="21"/>
  <c r="N30" i="21"/>
  <c r="E31" i="21"/>
  <c r="F31" i="21"/>
  <c r="G31" i="21"/>
  <c r="H31" i="21"/>
  <c r="I31" i="21"/>
  <c r="J31" i="21"/>
  <c r="K31" i="21"/>
  <c r="L31" i="21"/>
  <c r="M31" i="21"/>
  <c r="N31" i="21"/>
  <c r="D28" i="21"/>
  <c r="D29" i="21"/>
  <c r="D30" i="21"/>
  <c r="D31" i="21"/>
  <c r="D27" i="21"/>
  <c r="F26" i="21"/>
  <c r="E26" i="21"/>
  <c r="D26" i="21"/>
  <c r="F130" i="19"/>
  <c r="F131" i="19"/>
  <c r="F132" i="19"/>
  <c r="F133" i="19"/>
  <c r="F134" i="19"/>
  <c r="F135" i="19"/>
  <c r="F136" i="19"/>
  <c r="F137" i="19"/>
  <c r="F138" i="19"/>
  <c r="F139" i="19"/>
  <c r="F140" i="19"/>
  <c r="F141" i="19"/>
  <c r="F142" i="19"/>
  <c r="F129" i="19"/>
  <c r="F89" i="19"/>
  <c r="F90" i="19"/>
  <c r="F91" i="19"/>
  <c r="F92" i="19"/>
  <c r="F93" i="19"/>
  <c r="F94" i="19"/>
  <c r="F95" i="19"/>
  <c r="F96" i="19"/>
  <c r="F97" i="19"/>
  <c r="F98" i="19"/>
  <c r="F99" i="19"/>
  <c r="F100" i="19"/>
  <c r="F101" i="19"/>
  <c r="F88" i="19"/>
  <c r="F48" i="19"/>
  <c r="F49" i="19"/>
  <c r="F50" i="19"/>
  <c r="F51" i="19"/>
  <c r="F52" i="19"/>
  <c r="F53" i="19"/>
  <c r="F54" i="19"/>
  <c r="F55" i="19"/>
  <c r="F56" i="19"/>
  <c r="F57" i="19"/>
  <c r="F58" i="19"/>
  <c r="F59" i="19"/>
  <c r="F60" i="19"/>
  <c r="F47" i="19"/>
  <c r="H353" i="15"/>
  <c r="I353" i="15" s="1"/>
  <c r="J353" i="15" s="1"/>
  <c r="K353" i="15" s="1"/>
  <c r="L353" i="15" s="1"/>
  <c r="H352" i="15"/>
  <c r="I352" i="15" s="1"/>
  <c r="J352" i="15" s="1"/>
  <c r="K352" i="15" s="1"/>
  <c r="L352" i="15" s="1"/>
  <c r="H351" i="15"/>
  <c r="I351" i="15" s="1"/>
  <c r="J351" i="15" s="1"/>
  <c r="K351" i="15" s="1"/>
  <c r="L351" i="15" s="1"/>
  <c r="I350" i="15"/>
  <c r="J350" i="15" s="1"/>
  <c r="K350" i="15" s="1"/>
  <c r="L350" i="15" s="1"/>
  <c r="H350" i="15"/>
  <c r="H349" i="15"/>
  <c r="I349" i="15" s="1"/>
  <c r="J349" i="15" s="1"/>
  <c r="K349" i="15" s="1"/>
  <c r="L349" i="15" s="1"/>
  <c r="H348" i="15"/>
  <c r="I348" i="15" s="1"/>
  <c r="J348" i="15" s="1"/>
  <c r="K348" i="15" s="1"/>
  <c r="L348" i="15" s="1"/>
  <c r="H347" i="15"/>
  <c r="I347" i="15" s="1"/>
  <c r="J347" i="15" s="1"/>
  <c r="K347" i="15" s="1"/>
  <c r="L347" i="15" s="1"/>
  <c r="H346" i="15"/>
  <c r="I346" i="15" s="1"/>
  <c r="J346" i="15" s="1"/>
  <c r="K346" i="15" s="1"/>
  <c r="L346" i="15" s="1"/>
  <c r="H345" i="15"/>
  <c r="I345" i="15" s="1"/>
  <c r="J345" i="15" s="1"/>
  <c r="K345" i="15" s="1"/>
  <c r="L345" i="15" s="1"/>
  <c r="I374" i="15"/>
  <c r="J374" i="15"/>
  <c r="K374" i="15" s="1"/>
  <c r="L374" i="15" s="1"/>
  <c r="I378" i="15"/>
  <c r="J378" i="15"/>
  <c r="K378" i="15" s="1"/>
  <c r="L378" i="15" s="1"/>
  <c r="H373" i="15"/>
  <c r="I373" i="15" s="1"/>
  <c r="J373" i="15" s="1"/>
  <c r="K373" i="15" s="1"/>
  <c r="L373" i="15" s="1"/>
  <c r="H374" i="15"/>
  <c r="H375" i="15"/>
  <c r="I375" i="15" s="1"/>
  <c r="J375" i="15" s="1"/>
  <c r="K375" i="15" s="1"/>
  <c r="L375" i="15" s="1"/>
  <c r="H376" i="15"/>
  <c r="I376" i="15" s="1"/>
  <c r="J376" i="15" s="1"/>
  <c r="K376" i="15" s="1"/>
  <c r="L376" i="15" s="1"/>
  <c r="H377" i="15"/>
  <c r="I377" i="15" s="1"/>
  <c r="J377" i="15" s="1"/>
  <c r="K377" i="15" s="1"/>
  <c r="L377" i="15" s="1"/>
  <c r="H378" i="15"/>
  <c r="H379" i="15"/>
  <c r="I379" i="15" s="1"/>
  <c r="J379" i="15" s="1"/>
  <c r="K379" i="15" s="1"/>
  <c r="L379" i="15" s="1"/>
  <c r="H380" i="15"/>
  <c r="I380" i="15" s="1"/>
  <c r="J380" i="15" s="1"/>
  <c r="K380" i="15" s="1"/>
  <c r="L380" i="15" s="1"/>
  <c r="H372" i="15"/>
  <c r="I372" i="15" s="1"/>
  <c r="J372" i="15" s="1"/>
  <c r="K372" i="15" s="1"/>
  <c r="L372" i="15" s="1"/>
  <c r="L204" i="15"/>
  <c r="L205" i="15"/>
  <c r="L206" i="15"/>
  <c r="L207" i="15"/>
  <c r="L208" i="15"/>
  <c r="L209" i="15"/>
  <c r="L210" i="15"/>
  <c r="L211" i="15"/>
  <c r="L212" i="15"/>
  <c r="N132" i="21" l="1"/>
  <c r="M132" i="21"/>
  <c r="L132" i="21"/>
  <c r="K132" i="21"/>
  <c r="J132" i="21"/>
  <c r="I132" i="21"/>
  <c r="H132" i="21"/>
  <c r="G132" i="21"/>
  <c r="F132" i="21"/>
  <c r="E132" i="21"/>
  <c r="D94" i="18" l="1"/>
  <c r="K94" i="18"/>
  <c r="J94" i="18"/>
  <c r="G94" i="18"/>
  <c r="F94" i="18"/>
  <c r="E94" i="18"/>
  <c r="H94" i="18"/>
  <c r="I94" i="18"/>
  <c r="L94" i="18"/>
  <c r="M94" i="18"/>
  <c r="H132" i="19" l="1"/>
  <c r="I132" i="19" s="1"/>
  <c r="G130" i="19"/>
  <c r="H130" i="19" s="1"/>
  <c r="G131" i="19"/>
  <c r="H131" i="19" s="1"/>
  <c r="S131" i="19" s="1"/>
  <c r="T131" i="19" s="1"/>
  <c r="G132" i="19"/>
  <c r="G133" i="19"/>
  <c r="H133" i="19" s="1"/>
  <c r="G134" i="19"/>
  <c r="H134" i="19" s="1"/>
  <c r="G135" i="19"/>
  <c r="Q135" i="19" s="1"/>
  <c r="R135" i="19" s="1"/>
  <c r="G136" i="19"/>
  <c r="H136" i="19" s="1"/>
  <c r="I136" i="19" s="1"/>
  <c r="G137" i="19"/>
  <c r="Q137" i="19" s="1"/>
  <c r="R137" i="19" s="1"/>
  <c r="G138" i="19"/>
  <c r="Q138" i="19" s="1"/>
  <c r="R138" i="19" s="1"/>
  <c r="G139" i="19"/>
  <c r="H139" i="19" s="1"/>
  <c r="G140" i="19"/>
  <c r="Q140" i="19" s="1"/>
  <c r="R140" i="19" s="1"/>
  <c r="G141" i="19"/>
  <c r="Q141" i="19" s="1"/>
  <c r="R141" i="19" s="1"/>
  <c r="G142" i="19"/>
  <c r="H142" i="19" s="1"/>
  <c r="G129" i="19"/>
  <c r="H129" i="19" s="1"/>
  <c r="H110" i="19"/>
  <c r="H114" i="19"/>
  <c r="I114" i="19" s="1"/>
  <c r="J114" i="19" s="1"/>
  <c r="AA114" i="19" s="1"/>
  <c r="AB114" i="19" s="1"/>
  <c r="H115" i="19"/>
  <c r="I115" i="19" s="1"/>
  <c r="W115" i="19" s="1"/>
  <c r="H117" i="19"/>
  <c r="S117" i="19" s="1"/>
  <c r="I117" i="19"/>
  <c r="W117" i="19" s="1"/>
  <c r="H121" i="19"/>
  <c r="S121" i="19" s="1"/>
  <c r="T121" i="19" s="1"/>
  <c r="I121" i="19"/>
  <c r="J121" i="19" s="1"/>
  <c r="G110" i="19"/>
  <c r="G111" i="19"/>
  <c r="H111" i="19" s="1"/>
  <c r="G112" i="19"/>
  <c r="Q112" i="19" s="1"/>
  <c r="R112" i="19" s="1"/>
  <c r="G113" i="19"/>
  <c r="H113" i="19" s="1"/>
  <c r="G114" i="19"/>
  <c r="G115" i="19"/>
  <c r="Q115" i="19" s="1"/>
  <c r="R115" i="19" s="1"/>
  <c r="G116" i="19"/>
  <c r="Q116" i="19" s="1"/>
  <c r="R116" i="19" s="1"/>
  <c r="G117" i="19"/>
  <c r="G118" i="19"/>
  <c r="H118" i="19" s="1"/>
  <c r="G119" i="19"/>
  <c r="Q119" i="19" s="1"/>
  <c r="R119" i="19" s="1"/>
  <c r="G120" i="19"/>
  <c r="Q120" i="19" s="1"/>
  <c r="R120" i="19" s="1"/>
  <c r="G121" i="19"/>
  <c r="G122" i="19"/>
  <c r="H122" i="19" s="1"/>
  <c r="G109" i="19"/>
  <c r="H109" i="19" s="1"/>
  <c r="H89" i="19"/>
  <c r="I89" i="19" s="1"/>
  <c r="J89" i="19" s="1"/>
  <c r="AA89" i="19" s="1"/>
  <c r="G89" i="19"/>
  <c r="G90" i="19"/>
  <c r="H90" i="19" s="1"/>
  <c r="G91" i="19"/>
  <c r="H91" i="19" s="1"/>
  <c r="G92" i="19"/>
  <c r="Q92" i="19" s="1"/>
  <c r="R92" i="19" s="1"/>
  <c r="G93" i="19"/>
  <c r="Q93" i="19" s="1"/>
  <c r="R93" i="19" s="1"/>
  <c r="G94" i="19"/>
  <c r="H94" i="19" s="1"/>
  <c r="G95" i="19"/>
  <c r="H95" i="19" s="1"/>
  <c r="I95" i="19" s="1"/>
  <c r="G96" i="19"/>
  <c r="Q96" i="19" s="1"/>
  <c r="R96" i="19" s="1"/>
  <c r="G97" i="19"/>
  <c r="H97" i="19" s="1"/>
  <c r="G98" i="19"/>
  <c r="H98" i="19" s="1"/>
  <c r="G99" i="19"/>
  <c r="H99" i="19" s="1"/>
  <c r="I99" i="19" s="1"/>
  <c r="G100" i="19"/>
  <c r="Q100" i="19" s="1"/>
  <c r="R100" i="19" s="1"/>
  <c r="G101" i="19"/>
  <c r="H101" i="19" s="1"/>
  <c r="G88" i="19"/>
  <c r="Q88" i="19" s="1"/>
  <c r="R88" i="19" s="1"/>
  <c r="H71" i="19"/>
  <c r="I71" i="19" s="1"/>
  <c r="H75" i="19"/>
  <c r="H77" i="19"/>
  <c r="I77" i="19" s="1"/>
  <c r="J77" i="19" s="1"/>
  <c r="AA77" i="19" s="1"/>
  <c r="AB77" i="19" s="1"/>
  <c r="H81" i="19"/>
  <c r="H69" i="19"/>
  <c r="Q70" i="19"/>
  <c r="R70" i="19" s="1"/>
  <c r="Q71" i="19"/>
  <c r="R71" i="19" s="1"/>
  <c r="H72" i="19"/>
  <c r="H73" i="19"/>
  <c r="I73" i="19" s="1"/>
  <c r="J73" i="19" s="1"/>
  <c r="Q74" i="19"/>
  <c r="R74" i="19" s="1"/>
  <c r="Q75" i="19"/>
  <c r="R75" i="19" s="1"/>
  <c r="Q76" i="19"/>
  <c r="R76" i="19" s="1"/>
  <c r="Q78" i="19"/>
  <c r="R78" i="19" s="1"/>
  <c r="Q79" i="19"/>
  <c r="R79" i="19" s="1"/>
  <c r="Q80" i="19"/>
  <c r="R80" i="19" s="1"/>
  <c r="H68" i="19"/>
  <c r="H52" i="19"/>
  <c r="H48" i="19"/>
  <c r="H49" i="19"/>
  <c r="Q50" i="19"/>
  <c r="R50" i="19" s="1"/>
  <c r="Q51" i="19"/>
  <c r="R51" i="19" s="1"/>
  <c r="Q52" i="19"/>
  <c r="R52" i="19" s="1"/>
  <c r="H53" i="19"/>
  <c r="Q54" i="19"/>
  <c r="R54" i="19" s="1"/>
  <c r="Q55" i="19"/>
  <c r="R55" i="19" s="1"/>
  <c r="Q56" i="19"/>
  <c r="R56" i="19" s="1"/>
  <c r="H57" i="19"/>
  <c r="H58" i="19"/>
  <c r="Q59" i="19"/>
  <c r="R59" i="19" s="1"/>
  <c r="H60" i="19"/>
  <c r="H47" i="19"/>
  <c r="H30" i="19"/>
  <c r="H33" i="19"/>
  <c r="I33" i="19" s="1"/>
  <c r="J33" i="19" s="1"/>
  <c r="Q28" i="19"/>
  <c r="R28" i="19" s="1"/>
  <c r="H29" i="19"/>
  <c r="Q30" i="19"/>
  <c r="R30" i="19" s="1"/>
  <c r="H31" i="19"/>
  <c r="Q32" i="19"/>
  <c r="R32" i="19" s="1"/>
  <c r="Q33" i="19"/>
  <c r="R33" i="19" s="1"/>
  <c r="Q34" i="19"/>
  <c r="R34" i="19" s="1"/>
  <c r="H35" i="19"/>
  <c r="H36" i="19"/>
  <c r="H37" i="19"/>
  <c r="H38" i="19"/>
  <c r="H39" i="19"/>
  <c r="H40" i="19"/>
  <c r="I40" i="19" s="1"/>
  <c r="H27" i="19"/>
  <c r="F61" i="4"/>
  <c r="L61" i="4" s="1"/>
  <c r="F60" i="4"/>
  <c r="F35" i="4"/>
  <c r="F36" i="4" s="1"/>
  <c r="O82" i="21"/>
  <c r="L80" i="4"/>
  <c r="AM38" i="15"/>
  <c r="AL25" i="15"/>
  <c r="AM25" i="15" s="1"/>
  <c r="AL26" i="15"/>
  <c r="AM26" i="15" s="1"/>
  <c r="AL29" i="15"/>
  <c r="AM29" i="15" s="1"/>
  <c r="AL30" i="15"/>
  <c r="AM30" i="15" s="1"/>
  <c r="AL33" i="15"/>
  <c r="AM33" i="15" s="1"/>
  <c r="AL34" i="15"/>
  <c r="AM34" i="15" s="1"/>
  <c r="AL37" i="15"/>
  <c r="AM37" i="15" s="1"/>
  <c r="AL38" i="15"/>
  <c r="AL41" i="15"/>
  <c r="AM41" i="15" s="1"/>
  <c r="AL42" i="15"/>
  <c r="AM42" i="15" s="1"/>
  <c r="AL45" i="15"/>
  <c r="AM45" i="15" s="1"/>
  <c r="AL46" i="15"/>
  <c r="AM46" i="15" s="1"/>
  <c r="AL49" i="15"/>
  <c r="AM49" i="15" s="1"/>
  <c r="AL50" i="15"/>
  <c r="AM50" i="15" s="1"/>
  <c r="AK25" i="15"/>
  <c r="AK28" i="15"/>
  <c r="AK29" i="15"/>
  <c r="AK33" i="15"/>
  <c r="AK36" i="15"/>
  <c r="AK37" i="15"/>
  <c r="AK41" i="15"/>
  <c r="AK44" i="15"/>
  <c r="AK45" i="15"/>
  <c r="AK49" i="15"/>
  <c r="AJ23" i="15"/>
  <c r="AJ24" i="15"/>
  <c r="AL24" i="15" s="1"/>
  <c r="AM24" i="15" s="1"/>
  <c r="AJ25" i="15"/>
  <c r="AJ26" i="15"/>
  <c r="AK26" i="15" s="1"/>
  <c r="AJ27" i="15"/>
  <c r="AJ28" i="15"/>
  <c r="AL28" i="15" s="1"/>
  <c r="AM28" i="15" s="1"/>
  <c r="AJ29" i="15"/>
  <c r="AJ30" i="15"/>
  <c r="AK30" i="15" s="1"/>
  <c r="AJ31" i="15"/>
  <c r="AJ32" i="15"/>
  <c r="AL32" i="15" s="1"/>
  <c r="AM32" i="15" s="1"/>
  <c r="AJ33" i="15"/>
  <c r="AJ34" i="15"/>
  <c r="AK34" i="15" s="1"/>
  <c r="AJ35" i="15"/>
  <c r="AJ36" i="15"/>
  <c r="AL36" i="15" s="1"/>
  <c r="AM36" i="15" s="1"/>
  <c r="AJ37" i="15"/>
  <c r="AJ38" i="15"/>
  <c r="AK38" i="15" s="1"/>
  <c r="AJ39" i="15"/>
  <c r="AJ40" i="15"/>
  <c r="AL40" i="15" s="1"/>
  <c r="AM40" i="15" s="1"/>
  <c r="AJ41" i="15"/>
  <c r="AJ42" i="15"/>
  <c r="AK42" i="15" s="1"/>
  <c r="AJ43" i="15"/>
  <c r="AJ44" i="15"/>
  <c r="AL44" i="15" s="1"/>
  <c r="AM44" i="15" s="1"/>
  <c r="AJ45" i="15"/>
  <c r="AJ46" i="15"/>
  <c r="AK46" i="15" s="1"/>
  <c r="AJ47" i="15"/>
  <c r="AJ48" i="15"/>
  <c r="AL48" i="15" s="1"/>
  <c r="AM48" i="15" s="1"/>
  <c r="AJ49" i="15"/>
  <c r="AJ50" i="15"/>
  <c r="AK50" i="15" s="1"/>
  <c r="AI23" i="15"/>
  <c r="AI39" i="15"/>
  <c r="AH23" i="15"/>
  <c r="AH26" i="15"/>
  <c r="AI26" i="15" s="1"/>
  <c r="AH27" i="15"/>
  <c r="AI27" i="15" s="1"/>
  <c r="AH30" i="15"/>
  <c r="AI30" i="15" s="1"/>
  <c r="AH31" i="15"/>
  <c r="AI31" i="15" s="1"/>
  <c r="AH34" i="15"/>
  <c r="AI34" i="15" s="1"/>
  <c r="AH35" i="15"/>
  <c r="AI35" i="15" s="1"/>
  <c r="AH38" i="15"/>
  <c r="AI38" i="15" s="1"/>
  <c r="AH39" i="15"/>
  <c r="AH42" i="15"/>
  <c r="AI42" i="15" s="1"/>
  <c r="AH43" i="15"/>
  <c r="AI43" i="15" s="1"/>
  <c r="AH46" i="15"/>
  <c r="AI46" i="15" s="1"/>
  <c r="AH47" i="15"/>
  <c r="AI47" i="15" s="1"/>
  <c r="AH50" i="15"/>
  <c r="AI50" i="15" s="1"/>
  <c r="AH51" i="15"/>
  <c r="AI51" i="15" s="1"/>
  <c r="AG26" i="15"/>
  <c r="AG29" i="15"/>
  <c r="AG30" i="15"/>
  <c r="AG34" i="15"/>
  <c r="AG37" i="15"/>
  <c r="AG38" i="15"/>
  <c r="AG42" i="15"/>
  <c r="AG45" i="15"/>
  <c r="AG46" i="15"/>
  <c r="AG50" i="15"/>
  <c r="AF23" i="15"/>
  <c r="AG23" i="15" s="1"/>
  <c r="AF24" i="15"/>
  <c r="AF25" i="15"/>
  <c r="AH25" i="15" s="1"/>
  <c r="AI25" i="15" s="1"/>
  <c r="AF26" i="15"/>
  <c r="AF27" i="15"/>
  <c r="AG27" i="15" s="1"/>
  <c r="AF28" i="15"/>
  <c r="AF29" i="15"/>
  <c r="AH29" i="15" s="1"/>
  <c r="AI29" i="15" s="1"/>
  <c r="AF30" i="15"/>
  <c r="AF31" i="15"/>
  <c r="AG31" i="15" s="1"/>
  <c r="AF32" i="15"/>
  <c r="AF33" i="15"/>
  <c r="AH33" i="15" s="1"/>
  <c r="AI33" i="15" s="1"/>
  <c r="AF34" i="15"/>
  <c r="AF35" i="15"/>
  <c r="AG35" i="15" s="1"/>
  <c r="AF36" i="15"/>
  <c r="AF37" i="15"/>
  <c r="AH37" i="15" s="1"/>
  <c r="AI37" i="15" s="1"/>
  <c r="AF38" i="15"/>
  <c r="AF39" i="15"/>
  <c r="AG39" i="15" s="1"/>
  <c r="AF40" i="15"/>
  <c r="AF41" i="15"/>
  <c r="AH41" i="15" s="1"/>
  <c r="AI41" i="15" s="1"/>
  <c r="AF42" i="15"/>
  <c r="AF43" i="15"/>
  <c r="AG43" i="15" s="1"/>
  <c r="AF44" i="15"/>
  <c r="AF45" i="15"/>
  <c r="AH45" i="15" s="1"/>
  <c r="AI45" i="15" s="1"/>
  <c r="AF46" i="15"/>
  <c r="AF47" i="15"/>
  <c r="AG47" i="15" s="1"/>
  <c r="AF48" i="15"/>
  <c r="AF49" i="15"/>
  <c r="AH49" i="15" s="1"/>
  <c r="AI49" i="15" s="1"/>
  <c r="AF50" i="15"/>
  <c r="AF51" i="15"/>
  <c r="AG51" i="15" s="1"/>
  <c r="AE27" i="15"/>
  <c r="AE35" i="15"/>
  <c r="AE43" i="15"/>
  <c r="AE51" i="15"/>
  <c r="AD23" i="15"/>
  <c r="AE23" i="15" s="1"/>
  <c r="AD26" i="15"/>
  <c r="AE26" i="15" s="1"/>
  <c r="AD27" i="15"/>
  <c r="AD30" i="15"/>
  <c r="AE30" i="15" s="1"/>
  <c r="AD31" i="15"/>
  <c r="AE31" i="15" s="1"/>
  <c r="AD34" i="15"/>
  <c r="AE34" i="15" s="1"/>
  <c r="AD35" i="15"/>
  <c r="AD38" i="15"/>
  <c r="AE38" i="15" s="1"/>
  <c r="AD39" i="15"/>
  <c r="AE39" i="15" s="1"/>
  <c r="AD42" i="15"/>
  <c r="AE42" i="15" s="1"/>
  <c r="AD43" i="15"/>
  <c r="AD46" i="15"/>
  <c r="AE46" i="15" s="1"/>
  <c r="AD47" i="15"/>
  <c r="AE47" i="15" s="1"/>
  <c r="AD50" i="15"/>
  <c r="AE50" i="15" s="1"/>
  <c r="AD51" i="15"/>
  <c r="AC26" i="15"/>
  <c r="AC30" i="15"/>
  <c r="AC34" i="15"/>
  <c r="AC38" i="15"/>
  <c r="AC42" i="15"/>
  <c r="AC46" i="15"/>
  <c r="AC50" i="15"/>
  <c r="AB23" i="15"/>
  <c r="AC23" i="15" s="1"/>
  <c r="AB24" i="15"/>
  <c r="AB25" i="15"/>
  <c r="AB26" i="15"/>
  <c r="AB27" i="15"/>
  <c r="AC27" i="15" s="1"/>
  <c r="AB28" i="15"/>
  <c r="AB29" i="15"/>
  <c r="AB30" i="15"/>
  <c r="AB31" i="15"/>
  <c r="AC31" i="15" s="1"/>
  <c r="AB32" i="15"/>
  <c r="AB33" i="15"/>
  <c r="AB34" i="15"/>
  <c r="AB35" i="15"/>
  <c r="AC35" i="15" s="1"/>
  <c r="AB36" i="15"/>
  <c r="AB37" i="15"/>
  <c r="AB38" i="15"/>
  <c r="AB39" i="15"/>
  <c r="AC39" i="15" s="1"/>
  <c r="AB40" i="15"/>
  <c r="AB41" i="15"/>
  <c r="AD41" i="15" s="1"/>
  <c r="AE41" i="15" s="1"/>
  <c r="AB42" i="15"/>
  <c r="AB43" i="15"/>
  <c r="AC43" i="15" s="1"/>
  <c r="AB44" i="15"/>
  <c r="AB45" i="15"/>
  <c r="AB46" i="15"/>
  <c r="AB47" i="15"/>
  <c r="AC47" i="15" s="1"/>
  <c r="AB48" i="15"/>
  <c r="AB49" i="15"/>
  <c r="AD49" i="15" s="1"/>
  <c r="AE49" i="15" s="1"/>
  <c r="AB50" i="15"/>
  <c r="AB51" i="15"/>
  <c r="AC51" i="15" s="1"/>
  <c r="AA27" i="15"/>
  <c r="AA43" i="15"/>
  <c r="Z23" i="15"/>
  <c r="AA23" i="15" s="1"/>
  <c r="Z27" i="15"/>
  <c r="Z30" i="15"/>
  <c r="AA30" i="15" s="1"/>
  <c r="Z31" i="15"/>
  <c r="AA31" i="15" s="1"/>
  <c r="Z35" i="15"/>
  <c r="AA35" i="15" s="1"/>
  <c r="Z38" i="15"/>
  <c r="AA38" i="15" s="1"/>
  <c r="Z39" i="15"/>
  <c r="AA39" i="15" s="1"/>
  <c r="Z43" i="15"/>
  <c r="Z46" i="15"/>
  <c r="AA46" i="15" s="1"/>
  <c r="Z47" i="15"/>
  <c r="AA47" i="15" s="1"/>
  <c r="Z51" i="15"/>
  <c r="AA51" i="15" s="1"/>
  <c r="Y23" i="15"/>
  <c r="Y27" i="15"/>
  <c r="Y34" i="15"/>
  <c r="Y35" i="15"/>
  <c r="Y38" i="15"/>
  <c r="Y39" i="15"/>
  <c r="Y43" i="15"/>
  <c r="Y49" i="15"/>
  <c r="Y50" i="15"/>
  <c r="Y51" i="15"/>
  <c r="X23" i="15"/>
  <c r="X24" i="15"/>
  <c r="X25" i="15"/>
  <c r="X26" i="15"/>
  <c r="Z26" i="15" s="1"/>
  <c r="AA26" i="15" s="1"/>
  <c r="X27" i="15"/>
  <c r="X28" i="15"/>
  <c r="X29" i="15"/>
  <c r="Z29" i="15" s="1"/>
  <c r="AA29" i="15" s="1"/>
  <c r="X30" i="15"/>
  <c r="Y30" i="15" s="1"/>
  <c r="X31" i="15"/>
  <c r="Y31" i="15" s="1"/>
  <c r="X32" i="15"/>
  <c r="X33" i="15"/>
  <c r="Z33" i="15" s="1"/>
  <c r="AA33" i="15" s="1"/>
  <c r="X34" i="15"/>
  <c r="Z34" i="15" s="1"/>
  <c r="AA34" i="15" s="1"/>
  <c r="X35" i="15"/>
  <c r="X36" i="15"/>
  <c r="X37" i="15"/>
  <c r="X38" i="15"/>
  <c r="X39" i="15"/>
  <c r="X40" i="15"/>
  <c r="X41" i="15"/>
  <c r="X42" i="15"/>
  <c r="Z42" i="15" s="1"/>
  <c r="AA42" i="15" s="1"/>
  <c r="X43" i="15"/>
  <c r="X44" i="15"/>
  <c r="X45" i="15"/>
  <c r="X46" i="15"/>
  <c r="Y46" i="15" s="1"/>
  <c r="X47" i="15"/>
  <c r="Y47" i="15" s="1"/>
  <c r="X48" i="15"/>
  <c r="X49" i="15"/>
  <c r="Z49" i="15" s="1"/>
  <c r="AA49" i="15" s="1"/>
  <c r="X50" i="15"/>
  <c r="Z50" i="15" s="1"/>
  <c r="AA50" i="15" s="1"/>
  <c r="X51" i="15"/>
  <c r="W23" i="15"/>
  <c r="W31" i="15"/>
  <c r="W39" i="15"/>
  <c r="W47" i="15"/>
  <c r="V23" i="15"/>
  <c r="V26" i="15"/>
  <c r="W26" i="15" s="1"/>
  <c r="V27" i="15"/>
  <c r="W27" i="15" s="1"/>
  <c r="V30" i="15"/>
  <c r="W30" i="15" s="1"/>
  <c r="V31" i="15"/>
  <c r="V34" i="15"/>
  <c r="W34" i="15" s="1"/>
  <c r="V35" i="15"/>
  <c r="W35" i="15" s="1"/>
  <c r="V38" i="15"/>
  <c r="W38" i="15" s="1"/>
  <c r="V39" i="15"/>
  <c r="V42" i="15"/>
  <c r="W42" i="15" s="1"/>
  <c r="V43" i="15"/>
  <c r="W43" i="15" s="1"/>
  <c r="V46" i="15"/>
  <c r="W46" i="15" s="1"/>
  <c r="V47" i="15"/>
  <c r="V50" i="15"/>
  <c r="W50" i="15" s="1"/>
  <c r="V51" i="15"/>
  <c r="W51" i="15" s="1"/>
  <c r="U23" i="15"/>
  <c r="U25" i="15"/>
  <c r="U26" i="15"/>
  <c r="U27" i="15"/>
  <c r="U30" i="15"/>
  <c r="U31" i="15"/>
  <c r="U33" i="15"/>
  <c r="U34" i="15"/>
  <c r="U35" i="15"/>
  <c r="U37" i="15"/>
  <c r="U38" i="15"/>
  <c r="U39" i="15"/>
  <c r="U42" i="15"/>
  <c r="U43" i="15"/>
  <c r="U46" i="15"/>
  <c r="U47" i="15"/>
  <c r="U49" i="15"/>
  <c r="U50" i="15"/>
  <c r="U51" i="15"/>
  <c r="T23" i="15"/>
  <c r="T24" i="15"/>
  <c r="T25" i="15"/>
  <c r="V25" i="15" s="1"/>
  <c r="W25" i="15" s="1"/>
  <c r="T26" i="15"/>
  <c r="T27" i="15"/>
  <c r="T28" i="15"/>
  <c r="T29" i="15"/>
  <c r="V29" i="15" s="1"/>
  <c r="W29" i="15" s="1"/>
  <c r="T30" i="15"/>
  <c r="T31" i="15"/>
  <c r="T32" i="15"/>
  <c r="T33" i="15"/>
  <c r="V33" i="15" s="1"/>
  <c r="W33" i="15" s="1"/>
  <c r="T34" i="15"/>
  <c r="T35" i="15"/>
  <c r="T36" i="15"/>
  <c r="T37" i="15"/>
  <c r="V37" i="15" s="1"/>
  <c r="W37" i="15" s="1"/>
  <c r="T38" i="15"/>
  <c r="T39" i="15"/>
  <c r="T40" i="15"/>
  <c r="T41" i="15"/>
  <c r="V41" i="15" s="1"/>
  <c r="W41" i="15" s="1"/>
  <c r="T42" i="15"/>
  <c r="T43" i="15"/>
  <c r="T44" i="15"/>
  <c r="T45" i="15"/>
  <c r="V45" i="15" s="1"/>
  <c r="W45" i="15" s="1"/>
  <c r="T46" i="15"/>
  <c r="T47" i="15"/>
  <c r="T48" i="15"/>
  <c r="T49" i="15"/>
  <c r="V49" i="15" s="1"/>
  <c r="W49" i="15" s="1"/>
  <c r="T50" i="15"/>
  <c r="T51" i="15"/>
  <c r="S23" i="15"/>
  <c r="S31" i="15"/>
  <c r="S39" i="15"/>
  <c r="S47" i="15"/>
  <c r="R23" i="15"/>
  <c r="R26" i="15"/>
  <c r="S26" i="15" s="1"/>
  <c r="R27" i="15"/>
  <c r="S27" i="15" s="1"/>
  <c r="R30" i="15"/>
  <c r="S30" i="15" s="1"/>
  <c r="R31" i="15"/>
  <c r="R34" i="15"/>
  <c r="S34" i="15" s="1"/>
  <c r="R35" i="15"/>
  <c r="S35" i="15" s="1"/>
  <c r="R38" i="15"/>
  <c r="S38" i="15" s="1"/>
  <c r="R39" i="15"/>
  <c r="R42" i="15"/>
  <c r="S42" i="15" s="1"/>
  <c r="R43" i="15"/>
  <c r="S43" i="15" s="1"/>
  <c r="R46" i="15"/>
  <c r="S46" i="15" s="1"/>
  <c r="R47" i="15"/>
  <c r="R50" i="15"/>
  <c r="S50" i="15" s="1"/>
  <c r="R51" i="15"/>
  <c r="S51" i="15" s="1"/>
  <c r="Q23" i="15"/>
  <c r="Q25" i="15"/>
  <c r="Q26" i="15"/>
  <c r="Q27" i="15"/>
  <c r="Q30" i="15"/>
  <c r="Q31" i="15"/>
  <c r="Q33" i="15"/>
  <c r="Q34" i="15"/>
  <c r="Q35" i="15"/>
  <c r="Q37" i="15"/>
  <c r="Q38" i="15"/>
  <c r="Q39" i="15"/>
  <c r="Q41" i="15"/>
  <c r="Q42" i="15"/>
  <c r="Q43" i="15"/>
  <c r="Q46" i="15"/>
  <c r="Q47" i="15"/>
  <c r="Q50" i="15"/>
  <c r="Q51" i="15"/>
  <c r="P23" i="15"/>
  <c r="P24" i="15"/>
  <c r="P25" i="15"/>
  <c r="R25" i="15" s="1"/>
  <c r="S25" i="15" s="1"/>
  <c r="P26" i="15"/>
  <c r="P27" i="15"/>
  <c r="P28" i="15"/>
  <c r="P29" i="15"/>
  <c r="R29" i="15" s="1"/>
  <c r="S29" i="15" s="1"/>
  <c r="P30" i="15"/>
  <c r="P31" i="15"/>
  <c r="P32" i="15"/>
  <c r="P33" i="15"/>
  <c r="R33" i="15" s="1"/>
  <c r="S33" i="15" s="1"/>
  <c r="P34" i="15"/>
  <c r="P35" i="15"/>
  <c r="P36" i="15"/>
  <c r="P37" i="15"/>
  <c r="R37" i="15" s="1"/>
  <c r="S37" i="15" s="1"/>
  <c r="P38" i="15"/>
  <c r="P39" i="15"/>
  <c r="P40" i="15"/>
  <c r="P41" i="15"/>
  <c r="R41" i="15" s="1"/>
  <c r="S41" i="15" s="1"/>
  <c r="P42" i="15"/>
  <c r="P43" i="15"/>
  <c r="P44" i="15"/>
  <c r="P45" i="15"/>
  <c r="R45" i="15" s="1"/>
  <c r="S45" i="15" s="1"/>
  <c r="P46" i="15"/>
  <c r="P47" i="15"/>
  <c r="P48" i="15"/>
  <c r="P49" i="15"/>
  <c r="R49" i="15" s="1"/>
  <c r="S49" i="15" s="1"/>
  <c r="P50" i="15"/>
  <c r="P51" i="15"/>
  <c r="O24" i="15"/>
  <c r="O25" i="15"/>
  <c r="O28" i="15"/>
  <c r="O29" i="15"/>
  <c r="O32" i="15"/>
  <c r="O33" i="15"/>
  <c r="O36" i="15"/>
  <c r="O37" i="15"/>
  <c r="O40" i="15"/>
  <c r="O41" i="15"/>
  <c r="O44" i="15"/>
  <c r="O45" i="15"/>
  <c r="O48" i="15"/>
  <c r="O49" i="15"/>
  <c r="N23" i="15"/>
  <c r="O23" i="15" s="1"/>
  <c r="N24" i="15"/>
  <c r="N25" i="15"/>
  <c r="N26" i="15"/>
  <c r="O26" i="15" s="1"/>
  <c r="N27" i="15"/>
  <c r="O27" i="15" s="1"/>
  <c r="N28" i="15"/>
  <c r="N29" i="15"/>
  <c r="N30" i="15"/>
  <c r="O30" i="15" s="1"/>
  <c r="N31" i="15"/>
  <c r="O31" i="15" s="1"/>
  <c r="N32" i="15"/>
  <c r="N33" i="15"/>
  <c r="N34" i="15"/>
  <c r="O34" i="15" s="1"/>
  <c r="N35" i="15"/>
  <c r="O35" i="15" s="1"/>
  <c r="N36" i="15"/>
  <c r="N37" i="15"/>
  <c r="N38" i="15"/>
  <c r="O38" i="15" s="1"/>
  <c r="N39" i="15"/>
  <c r="O39" i="15" s="1"/>
  <c r="N40" i="15"/>
  <c r="N41" i="15"/>
  <c r="N42" i="15"/>
  <c r="O42" i="15" s="1"/>
  <c r="N43" i="15"/>
  <c r="O43" i="15" s="1"/>
  <c r="N44" i="15"/>
  <c r="N45" i="15"/>
  <c r="N46" i="15"/>
  <c r="O46" i="15" s="1"/>
  <c r="N47" i="15"/>
  <c r="O47" i="15" s="1"/>
  <c r="N48" i="15"/>
  <c r="N49" i="15"/>
  <c r="N50" i="15"/>
  <c r="O50" i="15" s="1"/>
  <c r="N51" i="15"/>
  <c r="O51" i="15" s="1"/>
  <c r="Q75" i="21"/>
  <c r="Q76" i="21"/>
  <c r="Q72" i="21"/>
  <c r="Q66" i="21"/>
  <c r="Q63" i="21"/>
  <c r="Q43" i="21"/>
  <c r="Q39" i="21"/>
  <c r="Q33" i="21"/>
  <c r="D95" i="18"/>
  <c r="I101" i="20" s="1"/>
  <c r="N85" i="18"/>
  <c r="N86" i="18"/>
  <c r="N87" i="18"/>
  <c r="N88" i="18"/>
  <c r="N89" i="18"/>
  <c r="N90" i="18"/>
  <c r="N91" i="18"/>
  <c r="N92" i="18"/>
  <c r="N93" i="18"/>
  <c r="N66" i="18"/>
  <c r="N67" i="18"/>
  <c r="N68" i="18"/>
  <c r="N69" i="18"/>
  <c r="N70" i="18"/>
  <c r="N71" i="18"/>
  <c r="N72" i="18"/>
  <c r="N73" i="18"/>
  <c r="N74" i="18"/>
  <c r="N75" i="18"/>
  <c r="N76" i="18"/>
  <c r="N77" i="18"/>
  <c r="N78" i="18"/>
  <c r="N79" i="18"/>
  <c r="N47" i="18"/>
  <c r="N48" i="18"/>
  <c r="N49" i="18"/>
  <c r="N50" i="18"/>
  <c r="N51" i="18"/>
  <c r="N52" i="18"/>
  <c r="N53" i="18"/>
  <c r="N54" i="18"/>
  <c r="N55" i="18"/>
  <c r="N56" i="18"/>
  <c r="N57" i="18"/>
  <c r="N58" i="18"/>
  <c r="N59" i="18"/>
  <c r="N60" i="18"/>
  <c r="N32" i="18"/>
  <c r="N33" i="18"/>
  <c r="N34" i="18"/>
  <c r="N35" i="18"/>
  <c r="N36" i="18"/>
  <c r="N37" i="18"/>
  <c r="N38" i="18"/>
  <c r="N39" i="18"/>
  <c r="N40" i="18"/>
  <c r="N41" i="18"/>
  <c r="N42" i="18"/>
  <c r="N43" i="18"/>
  <c r="N44" i="18"/>
  <c r="N45" i="18"/>
  <c r="C650" i="15"/>
  <c r="C651" i="15"/>
  <c r="C652" i="15"/>
  <c r="C653" i="15"/>
  <c r="C654" i="15"/>
  <c r="C655" i="15"/>
  <c r="C656" i="15"/>
  <c r="C657" i="15"/>
  <c r="C658" i="15"/>
  <c r="C640" i="15"/>
  <c r="C641" i="15"/>
  <c r="C642" i="15"/>
  <c r="C643" i="15"/>
  <c r="C644" i="15"/>
  <c r="C645" i="15"/>
  <c r="C646" i="15"/>
  <c r="C647" i="15"/>
  <c r="C648" i="15"/>
  <c r="C629" i="15"/>
  <c r="C630" i="15"/>
  <c r="C631" i="15"/>
  <c r="C632" i="15"/>
  <c r="C633" i="15"/>
  <c r="C634" i="15"/>
  <c r="C635" i="15"/>
  <c r="C636" i="15"/>
  <c r="C637" i="15"/>
  <c r="C619" i="15"/>
  <c r="C620" i="15"/>
  <c r="C621" i="15"/>
  <c r="C622" i="15"/>
  <c r="C623" i="15"/>
  <c r="C624" i="15"/>
  <c r="C625" i="15"/>
  <c r="C626" i="15"/>
  <c r="C627" i="15"/>
  <c r="C526" i="15"/>
  <c r="C527" i="15"/>
  <c r="C528" i="15"/>
  <c r="C529" i="15"/>
  <c r="C530" i="15"/>
  <c r="C531" i="15"/>
  <c r="C532" i="15"/>
  <c r="C533" i="15"/>
  <c r="C534" i="15"/>
  <c r="C516" i="15"/>
  <c r="C517" i="15"/>
  <c r="C518" i="15"/>
  <c r="C519" i="15"/>
  <c r="C520" i="15"/>
  <c r="C521" i="15"/>
  <c r="C522" i="15"/>
  <c r="C523" i="15"/>
  <c r="C524" i="15"/>
  <c r="C513" i="15"/>
  <c r="C505" i="15"/>
  <c r="C506" i="15"/>
  <c r="C507" i="15"/>
  <c r="C508" i="15"/>
  <c r="C509" i="15"/>
  <c r="C510" i="15"/>
  <c r="C511" i="15"/>
  <c r="C512" i="15"/>
  <c r="C495" i="15"/>
  <c r="C496" i="15"/>
  <c r="C497" i="15"/>
  <c r="C498" i="15"/>
  <c r="C499" i="15"/>
  <c r="C500" i="15"/>
  <c r="C501" i="15"/>
  <c r="C502" i="15"/>
  <c r="C503" i="15"/>
  <c r="G510" i="15"/>
  <c r="D167" i="15"/>
  <c r="D526" i="15"/>
  <c r="D168" i="15"/>
  <c r="D294" i="15" s="1"/>
  <c r="D651" i="15" s="1"/>
  <c r="D169" i="15"/>
  <c r="D528" i="15"/>
  <c r="D170" i="15"/>
  <c r="D529" i="15" s="1"/>
  <c r="D171" i="15"/>
  <c r="D530" i="15"/>
  <c r="D172" i="15"/>
  <c r="D173" i="15"/>
  <c r="D532" i="15"/>
  <c r="D174" i="15"/>
  <c r="D533" i="15" s="1"/>
  <c r="D175" i="15"/>
  <c r="D534" i="15" s="1"/>
  <c r="D157" i="15"/>
  <c r="D516" i="15"/>
  <c r="D158" i="15"/>
  <c r="D517" i="15" s="1"/>
  <c r="D159" i="15"/>
  <c r="D518" i="15"/>
  <c r="D160" i="15"/>
  <c r="D519" i="15" s="1"/>
  <c r="D161" i="15"/>
  <c r="D162" i="15"/>
  <c r="D521" i="15" s="1"/>
  <c r="D163" i="15"/>
  <c r="D164" i="15"/>
  <c r="D523" i="15"/>
  <c r="D165" i="15"/>
  <c r="D524" i="15" s="1"/>
  <c r="D146" i="15"/>
  <c r="D505" i="15"/>
  <c r="D147" i="15"/>
  <c r="D506" i="15" s="1"/>
  <c r="D148" i="15"/>
  <c r="D507" i="15"/>
  <c r="D149" i="15"/>
  <c r="D508" i="15" s="1"/>
  <c r="D150" i="15"/>
  <c r="D509" i="15"/>
  <c r="D151" i="15"/>
  <c r="D152" i="15"/>
  <c r="D511" i="15"/>
  <c r="D153" i="15"/>
  <c r="D512" i="15" s="1"/>
  <c r="D154" i="15"/>
  <c r="D513" i="15"/>
  <c r="D136" i="15"/>
  <c r="D495" i="15" s="1"/>
  <c r="D137" i="15"/>
  <c r="D496" i="15" s="1"/>
  <c r="D138" i="15"/>
  <c r="D139" i="15"/>
  <c r="D498" i="15" s="1"/>
  <c r="D140" i="15"/>
  <c r="D141" i="15"/>
  <c r="D500" i="15"/>
  <c r="D142" i="15"/>
  <c r="D501" i="15" s="1"/>
  <c r="D143" i="15"/>
  <c r="D269" i="15"/>
  <c r="D626" i="15" s="1"/>
  <c r="D144" i="15"/>
  <c r="D503" i="15"/>
  <c r="L132" i="4"/>
  <c r="F167" i="15"/>
  <c r="N167" i="15" s="1"/>
  <c r="O167" i="15" s="1"/>
  <c r="L133" i="4"/>
  <c r="F168" i="15"/>
  <c r="N168" i="15"/>
  <c r="O168" i="15" s="1"/>
  <c r="P168" i="15"/>
  <c r="R168" i="15"/>
  <c r="S168" i="15"/>
  <c r="L134" i="4"/>
  <c r="F169" i="15"/>
  <c r="N169" i="15"/>
  <c r="O169" i="15"/>
  <c r="L135" i="4"/>
  <c r="F170" i="15"/>
  <c r="N170" i="15"/>
  <c r="O170" i="15"/>
  <c r="L136" i="4"/>
  <c r="F171" i="15"/>
  <c r="N171" i="15"/>
  <c r="O171" i="15"/>
  <c r="L137" i="4"/>
  <c r="F172" i="15"/>
  <c r="N172" i="15"/>
  <c r="L138" i="4"/>
  <c r="F173" i="15"/>
  <c r="N173" i="15" s="1"/>
  <c r="O173" i="15" s="1"/>
  <c r="L139" i="4"/>
  <c r="F174" i="15"/>
  <c r="L140" i="4"/>
  <c r="F175" i="15"/>
  <c r="N175" i="15"/>
  <c r="O175" i="15"/>
  <c r="L122" i="4"/>
  <c r="F146" i="15"/>
  <c r="N146" i="15"/>
  <c r="O146" i="15"/>
  <c r="L123" i="4"/>
  <c r="F147" i="15"/>
  <c r="N147" i="15"/>
  <c r="O147" i="15"/>
  <c r="L124" i="4"/>
  <c r="F148" i="15"/>
  <c r="N148" i="15"/>
  <c r="O148" i="15"/>
  <c r="L125" i="4"/>
  <c r="F149" i="15"/>
  <c r="N149" i="15"/>
  <c r="O149" i="15"/>
  <c r="L126" i="4"/>
  <c r="F150" i="15"/>
  <c r="L127" i="4"/>
  <c r="F151" i="15"/>
  <c r="N151" i="15" s="1"/>
  <c r="O151" i="15" s="1"/>
  <c r="H510" i="15"/>
  <c r="L128" i="4"/>
  <c r="F152" i="15"/>
  <c r="N152" i="15" s="1"/>
  <c r="O152" i="15" s="1"/>
  <c r="L129" i="4"/>
  <c r="F153" i="15"/>
  <c r="N153" i="15" s="1"/>
  <c r="O153" i="15" s="1"/>
  <c r="L130" i="4"/>
  <c r="F154" i="15"/>
  <c r="N154" i="15" s="1"/>
  <c r="O154" i="15" s="1"/>
  <c r="G132" i="4"/>
  <c r="G135" i="4"/>
  <c r="G136" i="4"/>
  <c r="G139" i="4"/>
  <c r="G140" i="4"/>
  <c r="G124" i="4"/>
  <c r="G125" i="4"/>
  <c r="G128" i="4"/>
  <c r="G129" i="4"/>
  <c r="L73" i="4"/>
  <c r="L74" i="4"/>
  <c r="F159" i="15"/>
  <c r="L75" i="4"/>
  <c r="F160" i="15"/>
  <c r="N160" i="15" s="1"/>
  <c r="O160" i="15" s="1"/>
  <c r="G519" i="15"/>
  <c r="L76" i="4"/>
  <c r="G76" i="4"/>
  <c r="L77" i="4"/>
  <c r="F162" i="15"/>
  <c r="N162" i="15" s="1"/>
  <c r="O162" i="15" s="1"/>
  <c r="L78" i="4"/>
  <c r="F163" i="15"/>
  <c r="N163" i="15"/>
  <c r="O163" i="15" s="1"/>
  <c r="L79" i="4"/>
  <c r="F164" i="15"/>
  <c r="N164" i="15"/>
  <c r="O164" i="15" s="1"/>
  <c r="G80" i="4"/>
  <c r="G73" i="4"/>
  <c r="G74" i="4"/>
  <c r="G75" i="4"/>
  <c r="L63" i="4"/>
  <c r="L64" i="4"/>
  <c r="G64" i="4"/>
  <c r="L65" i="4"/>
  <c r="F140" i="15"/>
  <c r="N140" i="15"/>
  <c r="O140" i="15" s="1"/>
  <c r="G65" i="4"/>
  <c r="L66" i="4"/>
  <c r="G66" i="4"/>
  <c r="L67" i="4"/>
  <c r="F142" i="15"/>
  <c r="N142" i="15"/>
  <c r="O142" i="15"/>
  <c r="L68" i="4"/>
  <c r="G68" i="4"/>
  <c r="L69" i="4"/>
  <c r="F144" i="15"/>
  <c r="N144" i="15" s="1"/>
  <c r="O144" i="15" s="1"/>
  <c r="L134" i="3"/>
  <c r="E167" i="15"/>
  <c r="E293" i="15" s="1"/>
  <c r="L135" i="3"/>
  <c r="L136" i="3"/>
  <c r="E169" i="15"/>
  <c r="E295" i="15" s="1"/>
  <c r="L137" i="3"/>
  <c r="E170" i="15"/>
  <c r="E296" i="15"/>
  <c r="L138" i="3"/>
  <c r="E171" i="15"/>
  <c r="E297" i="15"/>
  <c r="L139" i="3"/>
  <c r="L140" i="3"/>
  <c r="E173" i="15"/>
  <c r="E299" i="15"/>
  <c r="L141" i="3"/>
  <c r="E174" i="15"/>
  <c r="E300" i="15" s="1"/>
  <c r="L142" i="3"/>
  <c r="E175" i="15"/>
  <c r="E301" i="15"/>
  <c r="L124" i="3"/>
  <c r="L125" i="3"/>
  <c r="E147" i="15"/>
  <c r="E273" i="15"/>
  <c r="L126" i="3"/>
  <c r="E148" i="15"/>
  <c r="L127" i="3"/>
  <c r="E149" i="15"/>
  <c r="E275" i="15" s="1"/>
  <c r="L128" i="3"/>
  <c r="L129" i="3"/>
  <c r="E151" i="15"/>
  <c r="E277" i="15" s="1"/>
  <c r="L130" i="3"/>
  <c r="E152" i="15"/>
  <c r="E278" i="15" s="1"/>
  <c r="L131" i="3"/>
  <c r="E153" i="15"/>
  <c r="E279" i="15"/>
  <c r="L132" i="3"/>
  <c r="G136" i="3"/>
  <c r="G137" i="3"/>
  <c r="G141" i="3"/>
  <c r="G125" i="3"/>
  <c r="G126" i="3"/>
  <c r="G129" i="3"/>
  <c r="L74" i="3"/>
  <c r="E157" i="15"/>
  <c r="E283" i="15" s="1"/>
  <c r="L75" i="3"/>
  <c r="E158" i="15"/>
  <c r="E284" i="15" s="1"/>
  <c r="L76" i="3"/>
  <c r="E159" i="15"/>
  <c r="E285" i="15"/>
  <c r="L77" i="3"/>
  <c r="E160" i="15"/>
  <c r="L78" i="3"/>
  <c r="E161" i="15"/>
  <c r="L79" i="3"/>
  <c r="E162" i="15"/>
  <c r="L80" i="3"/>
  <c r="E163" i="15"/>
  <c r="E289" i="15" s="1"/>
  <c r="L81" i="3"/>
  <c r="E164" i="15"/>
  <c r="E290" i="15"/>
  <c r="L82" i="3"/>
  <c r="E165" i="15"/>
  <c r="E291" i="15"/>
  <c r="G76" i="3"/>
  <c r="G77" i="3"/>
  <c r="G78" i="3"/>
  <c r="L63" i="3"/>
  <c r="G63" i="3" s="1"/>
  <c r="L64" i="3"/>
  <c r="E137" i="15"/>
  <c r="L65" i="3"/>
  <c r="E138" i="15"/>
  <c r="E264" i="15"/>
  <c r="L66" i="3"/>
  <c r="G66" i="3"/>
  <c r="L67" i="3"/>
  <c r="E140" i="15"/>
  <c r="E266" i="15" s="1"/>
  <c r="L68" i="3"/>
  <c r="E141" i="15"/>
  <c r="E267" i="15"/>
  <c r="L69" i="3"/>
  <c r="E142" i="15"/>
  <c r="E268" i="15"/>
  <c r="L70" i="3"/>
  <c r="E143" i="15"/>
  <c r="E269" i="15" s="1"/>
  <c r="L71" i="3"/>
  <c r="E144" i="15"/>
  <c r="E270" i="15"/>
  <c r="G68" i="3"/>
  <c r="G70" i="3"/>
  <c r="D415" i="15"/>
  <c r="C415" i="15"/>
  <c r="L92" i="4"/>
  <c r="F79" i="15"/>
  <c r="L93" i="4"/>
  <c r="F80" i="15" s="1"/>
  <c r="L94" i="4"/>
  <c r="F81" i="15" s="1"/>
  <c r="L95" i="4"/>
  <c r="F82" i="15" s="1"/>
  <c r="L96" i="4"/>
  <c r="G96" i="4" s="1"/>
  <c r="F83" i="15"/>
  <c r="L97" i="4"/>
  <c r="F84" i="15"/>
  <c r="L98" i="4"/>
  <c r="F85" i="15"/>
  <c r="L99" i="4"/>
  <c r="F86" i="15" s="1"/>
  <c r="L100" i="4"/>
  <c r="G100" i="4" s="1"/>
  <c r="L101" i="4"/>
  <c r="G101" i="4" s="1"/>
  <c r="L102" i="4"/>
  <c r="F115" i="15" s="1"/>
  <c r="L103" i="4"/>
  <c r="G103" i="4"/>
  <c r="L104" i="4"/>
  <c r="F117" i="15"/>
  <c r="N117" i="15" s="1"/>
  <c r="O117" i="15" s="1"/>
  <c r="L105" i="4"/>
  <c r="L106" i="4"/>
  <c r="L107" i="4"/>
  <c r="G107" i="4"/>
  <c r="L108" i="4"/>
  <c r="L109" i="4"/>
  <c r="F122" i="15"/>
  <c r="N122" i="15"/>
  <c r="O122" i="15"/>
  <c r="G109" i="4"/>
  <c r="L110" i="4"/>
  <c r="L111" i="4"/>
  <c r="G111" i="4"/>
  <c r="L112" i="4"/>
  <c r="G112" i="4"/>
  <c r="L113" i="4"/>
  <c r="L114" i="4"/>
  <c r="F127" i="15"/>
  <c r="N127" i="15" s="1"/>
  <c r="O127" i="15" s="1"/>
  <c r="L115" i="4"/>
  <c r="G115" i="4"/>
  <c r="L116" i="4"/>
  <c r="L117" i="4"/>
  <c r="F130" i="15"/>
  <c r="N130" i="15"/>
  <c r="O130" i="15" s="1"/>
  <c r="G117" i="4"/>
  <c r="L118" i="4"/>
  <c r="L119" i="4"/>
  <c r="G119" i="4"/>
  <c r="L120" i="4"/>
  <c r="L121" i="4"/>
  <c r="L131" i="4"/>
  <c r="G92" i="4"/>
  <c r="G97" i="4"/>
  <c r="G98" i="4"/>
  <c r="G104" i="4"/>
  <c r="G105" i="4"/>
  <c r="G106" i="4"/>
  <c r="G108" i="4"/>
  <c r="G110" i="4"/>
  <c r="G113" i="4"/>
  <c r="G114" i="4"/>
  <c r="G116" i="4"/>
  <c r="G118" i="4"/>
  <c r="G120" i="4"/>
  <c r="G121" i="4"/>
  <c r="G131" i="4"/>
  <c r="L38" i="4"/>
  <c r="G38" i="4" s="1"/>
  <c r="L39" i="4"/>
  <c r="F94" i="15"/>
  <c r="N94" i="15"/>
  <c r="O94" i="15" s="1"/>
  <c r="L40" i="4"/>
  <c r="L41" i="4"/>
  <c r="F96" i="15"/>
  <c r="N96" i="15" s="1"/>
  <c r="O96" i="15" s="1"/>
  <c r="L42" i="4"/>
  <c r="L43" i="4"/>
  <c r="L44" i="4"/>
  <c r="L45" i="4"/>
  <c r="F100" i="15"/>
  <c r="N100" i="15"/>
  <c r="O100" i="15" s="1"/>
  <c r="P100" i="15"/>
  <c r="L46" i="4"/>
  <c r="L47" i="4"/>
  <c r="L48" i="4"/>
  <c r="F103" i="15"/>
  <c r="L49" i="4"/>
  <c r="F104" i="15"/>
  <c r="N104" i="15" s="1"/>
  <c r="O104" i="15" s="1"/>
  <c r="L50" i="4"/>
  <c r="F105" i="15"/>
  <c r="L51" i="4"/>
  <c r="L52" i="4"/>
  <c r="F107" i="15"/>
  <c r="N107" i="15"/>
  <c r="O107" i="15"/>
  <c r="L53" i="4"/>
  <c r="F108" i="15"/>
  <c r="N108" i="15"/>
  <c r="O108" i="15"/>
  <c r="L54" i="4"/>
  <c r="L55" i="4"/>
  <c r="L56" i="4"/>
  <c r="L57" i="4"/>
  <c r="L58" i="4"/>
  <c r="F113" i="15"/>
  <c r="N113" i="15"/>
  <c r="O113" i="15"/>
  <c r="G39" i="4"/>
  <c r="G40" i="4"/>
  <c r="G41" i="4"/>
  <c r="G42" i="4"/>
  <c r="G43" i="4"/>
  <c r="G44" i="4"/>
  <c r="G45" i="4"/>
  <c r="G46" i="4"/>
  <c r="G47" i="4"/>
  <c r="G48" i="4"/>
  <c r="G49" i="4"/>
  <c r="G50" i="4"/>
  <c r="G51" i="4"/>
  <c r="G52" i="4"/>
  <c r="G53" i="4"/>
  <c r="G54" i="4"/>
  <c r="G55" i="4"/>
  <c r="G56" i="4"/>
  <c r="G57" i="4"/>
  <c r="G58" i="4"/>
  <c r="L14" i="4"/>
  <c r="F59" i="15"/>
  <c r="L15" i="4"/>
  <c r="G15" i="4"/>
  <c r="L16" i="4"/>
  <c r="F61" i="15"/>
  <c r="L17" i="4"/>
  <c r="F62" i="15"/>
  <c r="N62" i="15" s="1"/>
  <c r="O62" i="15" s="1"/>
  <c r="L18" i="4"/>
  <c r="L19" i="4"/>
  <c r="F64" i="15"/>
  <c r="N64" i="15"/>
  <c r="L20" i="4"/>
  <c r="L21" i="4"/>
  <c r="F66" i="15"/>
  <c r="N66" i="15"/>
  <c r="O66" i="15"/>
  <c r="L22" i="4"/>
  <c r="F67" i="15"/>
  <c r="N67" i="15"/>
  <c r="O67" i="15"/>
  <c r="L23" i="4"/>
  <c r="G23" i="4"/>
  <c r="L24" i="4"/>
  <c r="L25" i="4"/>
  <c r="F70" i="15"/>
  <c r="L26" i="4"/>
  <c r="L27" i="4"/>
  <c r="F72" i="15"/>
  <c r="N72" i="15" s="1"/>
  <c r="O72" i="15" s="1"/>
  <c r="G27" i="4"/>
  <c r="L28" i="4"/>
  <c r="L29" i="4"/>
  <c r="F74" i="15"/>
  <c r="N74" i="15"/>
  <c r="O74" i="15"/>
  <c r="L30" i="4"/>
  <c r="L31" i="4"/>
  <c r="G31" i="4"/>
  <c r="L32" i="4"/>
  <c r="G14" i="4"/>
  <c r="G16" i="4"/>
  <c r="G18" i="4"/>
  <c r="G20" i="4"/>
  <c r="G22" i="4"/>
  <c r="G24" i="4"/>
  <c r="G26" i="4"/>
  <c r="G28" i="4"/>
  <c r="G30" i="4"/>
  <c r="G32" i="4"/>
  <c r="L94" i="3"/>
  <c r="L95" i="3"/>
  <c r="E80" i="15" s="1"/>
  <c r="E206" i="15" s="1"/>
  <c r="L96" i="3"/>
  <c r="E81" i="15" s="1"/>
  <c r="E207" i="15" s="1"/>
  <c r="L97" i="3"/>
  <c r="E82" i="15"/>
  <c r="E208" i="15" s="1"/>
  <c r="L98" i="3"/>
  <c r="E83" i="15" s="1"/>
  <c r="E209" i="15" s="1"/>
  <c r="L99" i="3"/>
  <c r="G99" i="3" s="1"/>
  <c r="L100" i="3"/>
  <c r="E85" i="15" s="1"/>
  <c r="E211" i="15" s="1"/>
  <c r="L101" i="3"/>
  <c r="E86" i="15"/>
  <c r="E212" i="15" s="1"/>
  <c r="L102" i="3"/>
  <c r="E87" i="15" s="1"/>
  <c r="E213" i="15" s="1"/>
  <c r="L103" i="3"/>
  <c r="E114" i="15" s="1"/>
  <c r="E240" i="15" s="1"/>
  <c r="L104" i="3"/>
  <c r="G104" i="3" s="1"/>
  <c r="AJ241" i="15"/>
  <c r="L105" i="3"/>
  <c r="E116" i="15"/>
  <c r="E242" i="15"/>
  <c r="L106" i="3"/>
  <c r="L107" i="3"/>
  <c r="E118" i="15"/>
  <c r="E244" i="15"/>
  <c r="J601" i="15"/>
  <c r="L108" i="3"/>
  <c r="E119" i="15"/>
  <c r="E245" i="15"/>
  <c r="L109" i="3"/>
  <c r="E120" i="15"/>
  <c r="E246" i="15"/>
  <c r="AJ246" i="15"/>
  <c r="L110" i="3"/>
  <c r="E121" i="15"/>
  <c r="E247" i="15"/>
  <c r="L111" i="3"/>
  <c r="E122" i="15"/>
  <c r="E248" i="15" s="1"/>
  <c r="L112" i="3"/>
  <c r="E123" i="15"/>
  <c r="E249" i="15" s="1"/>
  <c r="L113" i="3"/>
  <c r="L114" i="3"/>
  <c r="E125" i="15"/>
  <c r="E251" i="15" s="1"/>
  <c r="L115" i="3"/>
  <c r="E126" i="15"/>
  <c r="E252" i="15"/>
  <c r="G115" i="3"/>
  <c r="L116" i="3"/>
  <c r="E127" i="15"/>
  <c r="E253" i="15"/>
  <c r="L117" i="3"/>
  <c r="E128" i="15"/>
  <c r="E254" i="15"/>
  <c r="L118" i="3"/>
  <c r="E129" i="15"/>
  <c r="E255" i="15" s="1"/>
  <c r="L119" i="3"/>
  <c r="E130" i="15"/>
  <c r="L120" i="3"/>
  <c r="E131" i="15"/>
  <c r="E257" i="15"/>
  <c r="L121" i="3"/>
  <c r="E132" i="15"/>
  <c r="E258" i="15" s="1"/>
  <c r="L122" i="3"/>
  <c r="E133" i="15"/>
  <c r="E259" i="15" s="1"/>
  <c r="L123" i="3"/>
  <c r="E145" i="15"/>
  <c r="E271" i="15"/>
  <c r="L133" i="3"/>
  <c r="E166" i="15"/>
  <c r="E292" i="15"/>
  <c r="L37" i="3"/>
  <c r="E90" i="15" s="1"/>
  <c r="E216" i="15" s="1"/>
  <c r="L38" i="3"/>
  <c r="E91" i="15" s="1"/>
  <c r="E217" i="15" s="1"/>
  <c r="L39" i="3"/>
  <c r="E92" i="15"/>
  <c r="E218" i="15" s="1"/>
  <c r="L40" i="3"/>
  <c r="L41" i="3"/>
  <c r="E94" i="15"/>
  <c r="E220" i="15"/>
  <c r="L42" i="3"/>
  <c r="E95" i="15"/>
  <c r="E221" i="15" s="1"/>
  <c r="L43" i="3"/>
  <c r="E96" i="15"/>
  <c r="E222" i="15" s="1"/>
  <c r="L44" i="3"/>
  <c r="E97" i="15"/>
  <c r="E223" i="15"/>
  <c r="AJ223" i="15"/>
  <c r="AK223" i="15" s="1"/>
  <c r="L45" i="3"/>
  <c r="E98" i="15"/>
  <c r="E224" i="15"/>
  <c r="L46" i="3"/>
  <c r="E99" i="15"/>
  <c r="E225" i="15"/>
  <c r="L47" i="3"/>
  <c r="E100" i="15"/>
  <c r="E226" i="15"/>
  <c r="L48" i="3"/>
  <c r="E101" i="15"/>
  <c r="E227" i="15" s="1"/>
  <c r="AJ227" i="15"/>
  <c r="AK227" i="15"/>
  <c r="L49" i="3"/>
  <c r="E102" i="15"/>
  <c r="E228" i="15"/>
  <c r="L50" i="3"/>
  <c r="E103" i="15"/>
  <c r="E229" i="15" s="1"/>
  <c r="L51" i="3"/>
  <c r="E104" i="15"/>
  <c r="E230" i="15" s="1"/>
  <c r="L52" i="3"/>
  <c r="E105" i="15"/>
  <c r="E231" i="15"/>
  <c r="L53" i="3"/>
  <c r="E106" i="15"/>
  <c r="E232" i="15"/>
  <c r="L54" i="3"/>
  <c r="E107" i="15"/>
  <c r="E233" i="15" s="1"/>
  <c r="L55" i="3"/>
  <c r="E108" i="15"/>
  <c r="E234" i="15" s="1"/>
  <c r="L56" i="3"/>
  <c r="L57" i="3"/>
  <c r="E110" i="15"/>
  <c r="L58" i="3"/>
  <c r="E111" i="15"/>
  <c r="E237" i="15"/>
  <c r="L59" i="3"/>
  <c r="E112" i="15"/>
  <c r="E238" i="15" s="1"/>
  <c r="L60" i="3"/>
  <c r="E113" i="15"/>
  <c r="E239" i="15" s="1"/>
  <c r="L16" i="3"/>
  <c r="G16" i="3" s="1"/>
  <c r="L17" i="3"/>
  <c r="G17" i="3"/>
  <c r="L18" i="3"/>
  <c r="E61" i="15"/>
  <c r="E187" i="15"/>
  <c r="L19" i="3"/>
  <c r="L20" i="3"/>
  <c r="L21" i="3"/>
  <c r="L22" i="3"/>
  <c r="E65" i="15"/>
  <c r="E191" i="15" s="1"/>
  <c r="L23" i="3"/>
  <c r="L24" i="3"/>
  <c r="L25" i="3"/>
  <c r="E68" i="15"/>
  <c r="E194" i="15" s="1"/>
  <c r="L26" i="3"/>
  <c r="E69" i="15"/>
  <c r="E195" i="15"/>
  <c r="L27" i="3"/>
  <c r="L28" i="3"/>
  <c r="L29" i="3"/>
  <c r="E72" i="15"/>
  <c r="E198" i="15" s="1"/>
  <c r="L30" i="3"/>
  <c r="E73" i="15"/>
  <c r="E199" i="15" s="1"/>
  <c r="G30" i="3"/>
  <c r="L31" i="3"/>
  <c r="L32" i="3"/>
  <c r="E75" i="15"/>
  <c r="E201" i="15" s="1"/>
  <c r="G32" i="3"/>
  <c r="L33" i="3"/>
  <c r="G33" i="3"/>
  <c r="L34" i="3"/>
  <c r="G34" i="3"/>
  <c r="G97" i="3"/>
  <c r="G101" i="3"/>
  <c r="G105" i="3"/>
  <c r="G107" i="3"/>
  <c r="G109" i="3"/>
  <c r="G111" i="3"/>
  <c r="G112" i="3"/>
  <c r="G114" i="3"/>
  <c r="G116" i="3"/>
  <c r="G119" i="3"/>
  <c r="G121" i="3"/>
  <c r="G122" i="3"/>
  <c r="G39" i="3"/>
  <c r="G40" i="3"/>
  <c r="G41" i="3"/>
  <c r="G42" i="3"/>
  <c r="G43" i="3"/>
  <c r="G44" i="3"/>
  <c r="G46" i="3"/>
  <c r="G47" i="3"/>
  <c r="G48" i="3"/>
  <c r="G50" i="3"/>
  <c r="G51" i="3"/>
  <c r="G53" i="3"/>
  <c r="G54" i="3"/>
  <c r="G55" i="3"/>
  <c r="G57" i="3"/>
  <c r="G58" i="3"/>
  <c r="G59" i="3"/>
  <c r="G19" i="3"/>
  <c r="G20" i="3"/>
  <c r="G21" i="3"/>
  <c r="G23" i="3"/>
  <c r="G24" i="3"/>
  <c r="G25" i="3"/>
  <c r="G27" i="3"/>
  <c r="G28" i="3"/>
  <c r="G31" i="3"/>
  <c r="AF223" i="15"/>
  <c r="AG223" i="15"/>
  <c r="AF227" i="15"/>
  <c r="AF241" i="15"/>
  <c r="AG241" i="15" s="1"/>
  <c r="AB223" i="15"/>
  <c r="AB227" i="15"/>
  <c r="AC227" i="15"/>
  <c r="AB241" i="15"/>
  <c r="AD241" i="15"/>
  <c r="AE241" i="15" s="1"/>
  <c r="AB246" i="15"/>
  <c r="AD246" i="15" s="1"/>
  <c r="AE246" i="15" s="1"/>
  <c r="X223" i="15"/>
  <c r="Y223" i="15"/>
  <c r="X227" i="15"/>
  <c r="X241" i="15"/>
  <c r="Y241" i="15"/>
  <c r="X255" i="15"/>
  <c r="Y255" i="15" s="1"/>
  <c r="T223" i="15"/>
  <c r="T246" i="15"/>
  <c r="T255" i="15"/>
  <c r="U255" i="15"/>
  <c r="P223" i="15"/>
  <c r="P227" i="15"/>
  <c r="R227" i="15"/>
  <c r="S227" i="15" s="1"/>
  <c r="P231" i="15"/>
  <c r="P240" i="15"/>
  <c r="Q240" i="15" s="1"/>
  <c r="P241" i="15"/>
  <c r="R241" i="15" s="1"/>
  <c r="S241" i="15" s="1"/>
  <c r="P246" i="15"/>
  <c r="P255" i="15"/>
  <c r="R255" i="15"/>
  <c r="S255" i="15" s="1"/>
  <c r="N223" i="15"/>
  <c r="O223" i="15"/>
  <c r="N227" i="15"/>
  <c r="O227" i="15"/>
  <c r="N229" i="15"/>
  <c r="O229" i="15"/>
  <c r="N237" i="15"/>
  <c r="O237" i="15"/>
  <c r="N241" i="15"/>
  <c r="O241" i="15" s="1"/>
  <c r="N246" i="15"/>
  <c r="O246" i="15" s="1"/>
  <c r="N255" i="15"/>
  <c r="O255" i="15"/>
  <c r="X119" i="15"/>
  <c r="Z119" i="15" s="1"/>
  <c r="AA119" i="15" s="1"/>
  <c r="X124" i="15"/>
  <c r="T117" i="15"/>
  <c r="T119" i="15"/>
  <c r="T124" i="15"/>
  <c r="P117" i="15"/>
  <c r="Q117" i="15"/>
  <c r="P119" i="15"/>
  <c r="R119" i="15" s="1"/>
  <c r="S119" i="15" s="1"/>
  <c r="P124" i="15"/>
  <c r="Q124" i="15" s="1"/>
  <c r="P125" i="15"/>
  <c r="R125" i="15"/>
  <c r="S125" i="15"/>
  <c r="P132" i="15"/>
  <c r="P177" i="15"/>
  <c r="Q177" i="15"/>
  <c r="N177" i="15"/>
  <c r="O177" i="15" s="1"/>
  <c r="F116" i="15"/>
  <c r="F118" i="15"/>
  <c r="T118" i="15"/>
  <c r="U118" i="15" s="1"/>
  <c r="F119" i="15"/>
  <c r="N119" i="15"/>
  <c r="O119" i="15"/>
  <c r="F120" i="15"/>
  <c r="N120" i="15" s="1"/>
  <c r="O120" i="15" s="1"/>
  <c r="F121" i="15"/>
  <c r="N121" i="15" s="1"/>
  <c r="O121" i="15" s="1"/>
  <c r="F123" i="15"/>
  <c r="N123" i="15"/>
  <c r="O123" i="15"/>
  <c r="F124" i="15"/>
  <c r="N124" i="15"/>
  <c r="O124" i="15"/>
  <c r="F125" i="15"/>
  <c r="N125" i="15" s="1"/>
  <c r="O125" i="15" s="1"/>
  <c r="F126" i="15"/>
  <c r="F128" i="15"/>
  <c r="N128" i="15" s="1"/>
  <c r="O128" i="15" s="1"/>
  <c r="F129" i="15"/>
  <c r="N129" i="15"/>
  <c r="O129" i="15" s="1"/>
  <c r="F131" i="15"/>
  <c r="N131" i="15"/>
  <c r="O131" i="15"/>
  <c r="F132" i="15"/>
  <c r="N132" i="15"/>
  <c r="O132" i="15"/>
  <c r="F133" i="15"/>
  <c r="N133" i="15" s="1"/>
  <c r="O133" i="15" s="1"/>
  <c r="P133" i="15"/>
  <c r="R133" i="15" s="1"/>
  <c r="S133" i="15" s="1"/>
  <c r="F95" i="15"/>
  <c r="P95" i="15"/>
  <c r="Q95" i="15" s="1"/>
  <c r="F97" i="15"/>
  <c r="N97" i="15" s="1"/>
  <c r="O97" i="15" s="1"/>
  <c r="F98" i="15"/>
  <c r="N98" i="15" s="1"/>
  <c r="O98" i="15" s="1"/>
  <c r="F99" i="15"/>
  <c r="G458" i="15"/>
  <c r="F101" i="15"/>
  <c r="F102" i="15"/>
  <c r="N102" i="15"/>
  <c r="O102" i="15"/>
  <c r="F106" i="15"/>
  <c r="N106" i="15" s="1"/>
  <c r="O106" i="15" s="1"/>
  <c r="G465" i="15"/>
  <c r="F109" i="15"/>
  <c r="N109" i="15" s="1"/>
  <c r="O109" i="15" s="1"/>
  <c r="F110" i="15"/>
  <c r="N110" i="15" s="1"/>
  <c r="O110" i="15" s="1"/>
  <c r="F111" i="15"/>
  <c r="N111" i="15"/>
  <c r="O111" i="15"/>
  <c r="F112" i="15"/>
  <c r="N112" i="15"/>
  <c r="O112" i="15"/>
  <c r="D115" i="15"/>
  <c r="D116" i="15"/>
  <c r="D117" i="15"/>
  <c r="D476" i="15"/>
  <c r="D118" i="15"/>
  <c r="D477" i="15" s="1"/>
  <c r="D119" i="15"/>
  <c r="D120" i="15"/>
  <c r="D479" i="15"/>
  <c r="D121" i="15"/>
  <c r="D480" i="15"/>
  <c r="D122" i="15"/>
  <c r="D123" i="15"/>
  <c r="D124" i="15"/>
  <c r="D483" i="15"/>
  <c r="D125" i="15"/>
  <c r="D251" i="15"/>
  <c r="D608" i="15" s="1"/>
  <c r="D126" i="15"/>
  <c r="D485" i="15"/>
  <c r="D127" i="15"/>
  <c r="D486" i="15" s="1"/>
  <c r="D128" i="15"/>
  <c r="D129" i="15"/>
  <c r="D488" i="15" s="1"/>
  <c r="D130" i="15"/>
  <c r="D131" i="15"/>
  <c r="D490" i="15"/>
  <c r="D132" i="15"/>
  <c r="D133" i="15"/>
  <c r="D492" i="15"/>
  <c r="D90" i="15"/>
  <c r="D449" i="15" s="1"/>
  <c r="D91" i="15"/>
  <c r="D450" i="15" s="1"/>
  <c r="D92" i="15"/>
  <c r="D451" i="15" s="1"/>
  <c r="D93" i="15"/>
  <c r="D452" i="15"/>
  <c r="D94" i="15"/>
  <c r="D95" i="15"/>
  <c r="D454" i="15"/>
  <c r="D96" i="15"/>
  <c r="D455" i="15" s="1"/>
  <c r="D97" i="15"/>
  <c r="D456" i="15"/>
  <c r="D98" i="15"/>
  <c r="D457" i="15" s="1"/>
  <c r="D99" i="15"/>
  <c r="D458" i="15"/>
  <c r="D100" i="15"/>
  <c r="D459" i="15" s="1"/>
  <c r="D101" i="15"/>
  <c r="D460" i="15"/>
  <c r="D102" i="15"/>
  <c r="D103" i="15"/>
  <c r="D462" i="15" s="1"/>
  <c r="D104" i="15"/>
  <c r="D463" i="15"/>
  <c r="D105" i="15"/>
  <c r="D106" i="15"/>
  <c r="D465" i="15"/>
  <c r="D107" i="15"/>
  <c r="D108" i="15"/>
  <c r="D467" i="15" s="1"/>
  <c r="D109" i="15"/>
  <c r="D110" i="15"/>
  <c r="D469" i="15"/>
  <c r="D111" i="15"/>
  <c r="D112" i="15"/>
  <c r="D113" i="15"/>
  <c r="D239" i="15"/>
  <c r="D596" i="15" s="1"/>
  <c r="D79" i="15"/>
  <c r="D80" i="15"/>
  <c r="D206" i="15" s="1"/>
  <c r="D563" i="15" s="1"/>
  <c r="D81" i="15"/>
  <c r="D440" i="15" s="1"/>
  <c r="D82" i="15"/>
  <c r="D441" i="15"/>
  <c r="D83" i="15"/>
  <c r="D442" i="15" s="1"/>
  <c r="D84" i="15"/>
  <c r="D443" i="15"/>
  <c r="D85" i="15"/>
  <c r="D86" i="15"/>
  <c r="D445" i="15" s="1"/>
  <c r="D87" i="15"/>
  <c r="D446" i="15" s="1"/>
  <c r="D59" i="15"/>
  <c r="D60" i="15"/>
  <c r="D61" i="15"/>
  <c r="D420" i="15"/>
  <c r="D62" i="15"/>
  <c r="D421" i="15"/>
  <c r="D63" i="15"/>
  <c r="D64" i="15"/>
  <c r="D65" i="15"/>
  <c r="D424" i="15"/>
  <c r="D66" i="15"/>
  <c r="D425" i="15"/>
  <c r="D67" i="15"/>
  <c r="D68" i="15"/>
  <c r="D69" i="15"/>
  <c r="D195" i="15"/>
  <c r="D552" i="15"/>
  <c r="D70" i="15"/>
  <c r="D71" i="15"/>
  <c r="D72" i="15"/>
  <c r="D73" i="15"/>
  <c r="D432" i="15"/>
  <c r="D74" i="15"/>
  <c r="D75" i="15"/>
  <c r="D76" i="15"/>
  <c r="D435" i="15"/>
  <c r="D77" i="15"/>
  <c r="D436" i="15"/>
  <c r="D78" i="15"/>
  <c r="D204" i="15" s="1"/>
  <c r="D561" i="15" s="1"/>
  <c r="F63" i="15"/>
  <c r="N63" i="15" s="1"/>
  <c r="O63" i="15" s="1"/>
  <c r="F65" i="15"/>
  <c r="N65" i="15" s="1"/>
  <c r="O65" i="15" s="1"/>
  <c r="F68" i="15"/>
  <c r="N68" i="15"/>
  <c r="O68" i="15" s="1"/>
  <c r="F69" i="15"/>
  <c r="N69" i="15"/>
  <c r="O69" i="15"/>
  <c r="F71" i="15"/>
  <c r="N71" i="15" s="1"/>
  <c r="O71" i="15" s="1"/>
  <c r="F73" i="15"/>
  <c r="N73" i="15"/>
  <c r="O73" i="15" s="1"/>
  <c r="F75" i="15"/>
  <c r="F77" i="15"/>
  <c r="N77" i="15" s="1"/>
  <c r="O77" i="15" s="1"/>
  <c r="E62" i="15"/>
  <c r="E63" i="15"/>
  <c r="E189" i="15" s="1"/>
  <c r="E64" i="15"/>
  <c r="E190" i="15"/>
  <c r="E66" i="15"/>
  <c r="E192" i="15" s="1"/>
  <c r="E67" i="15"/>
  <c r="E193" i="15"/>
  <c r="F551" i="15"/>
  <c r="E70" i="15"/>
  <c r="E196" i="15" s="1"/>
  <c r="F553" i="15"/>
  <c r="E71" i="15"/>
  <c r="E197" i="15"/>
  <c r="E74" i="15"/>
  <c r="E200" i="15"/>
  <c r="L598" i="15"/>
  <c r="L603" i="15"/>
  <c r="K598" i="15"/>
  <c r="K603" i="15"/>
  <c r="J598" i="15"/>
  <c r="J603" i="15"/>
  <c r="J612" i="15"/>
  <c r="I598" i="15"/>
  <c r="I603" i="15"/>
  <c r="I612" i="15"/>
  <c r="H598" i="15"/>
  <c r="H603" i="15"/>
  <c r="H612" i="15"/>
  <c r="H597" i="15"/>
  <c r="G598" i="15"/>
  <c r="G602" i="15"/>
  <c r="G603" i="15"/>
  <c r="G611" i="15"/>
  <c r="G612" i="15"/>
  <c r="G597" i="15"/>
  <c r="F598" i="15"/>
  <c r="F602" i="15"/>
  <c r="F603" i="15"/>
  <c r="F611" i="15"/>
  <c r="F612" i="15"/>
  <c r="F597" i="15"/>
  <c r="F544" i="15"/>
  <c r="F546" i="15"/>
  <c r="F547" i="15"/>
  <c r="F549" i="15"/>
  <c r="F552" i="15"/>
  <c r="F554" i="15"/>
  <c r="F557" i="15"/>
  <c r="L580" i="15"/>
  <c r="L584" i="15"/>
  <c r="K580" i="15"/>
  <c r="K584" i="15"/>
  <c r="J580" i="15"/>
  <c r="J584" i="15"/>
  <c r="I580" i="15"/>
  <c r="I584" i="15"/>
  <c r="H580" i="15"/>
  <c r="H584" i="15"/>
  <c r="G580" i="15"/>
  <c r="G584" i="15"/>
  <c r="F580" i="15"/>
  <c r="F584" i="15"/>
  <c r="F588" i="15"/>
  <c r="C597" i="15"/>
  <c r="C598" i="15"/>
  <c r="C599" i="15"/>
  <c r="C600" i="15"/>
  <c r="C601" i="15"/>
  <c r="C602" i="15"/>
  <c r="C603" i="15"/>
  <c r="C604" i="15"/>
  <c r="C605" i="15"/>
  <c r="C606" i="15"/>
  <c r="C607" i="15"/>
  <c r="C608" i="15"/>
  <c r="C609" i="15"/>
  <c r="C610" i="15"/>
  <c r="C611" i="15"/>
  <c r="C612" i="15"/>
  <c r="C613" i="15"/>
  <c r="C614" i="15"/>
  <c r="C615" i="15"/>
  <c r="C616" i="15"/>
  <c r="C587" i="15"/>
  <c r="C588" i="15"/>
  <c r="C589" i="15"/>
  <c r="C590" i="15"/>
  <c r="C591" i="15"/>
  <c r="C592" i="15"/>
  <c r="C593" i="15"/>
  <c r="C594" i="15"/>
  <c r="C595" i="15"/>
  <c r="C596"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70" i="15"/>
  <c r="G454" i="15"/>
  <c r="G456" i="15"/>
  <c r="G461" i="15"/>
  <c r="G472" i="15"/>
  <c r="J478" i="15"/>
  <c r="I478" i="15"/>
  <c r="H477" i="15"/>
  <c r="H478" i="15"/>
  <c r="H484" i="15"/>
  <c r="G474" i="15"/>
  <c r="G476" i="15"/>
  <c r="G477" i="15"/>
  <c r="G478" i="15"/>
  <c r="G480" i="15"/>
  <c r="G484" i="15"/>
  <c r="G485" i="15"/>
  <c r="G486" i="15"/>
  <c r="G490" i="15"/>
  <c r="G492" i="15"/>
  <c r="C463" i="15"/>
  <c r="C464" i="15"/>
  <c r="C465" i="15"/>
  <c r="C466" i="15"/>
  <c r="C467" i="15"/>
  <c r="C468" i="15"/>
  <c r="C469" i="15"/>
  <c r="C470" i="15"/>
  <c r="C471" i="15"/>
  <c r="C472" i="15"/>
  <c r="C438" i="15"/>
  <c r="C439" i="15"/>
  <c r="C440" i="15"/>
  <c r="C441" i="15"/>
  <c r="C442" i="15"/>
  <c r="C443" i="15"/>
  <c r="C427" i="15"/>
  <c r="C428" i="15"/>
  <c r="C429" i="15"/>
  <c r="C430" i="15"/>
  <c r="C431" i="15"/>
  <c r="C432" i="15"/>
  <c r="C433" i="15"/>
  <c r="C434" i="15"/>
  <c r="C435" i="15"/>
  <c r="C436" i="15"/>
  <c r="C474" i="15"/>
  <c r="C475" i="15"/>
  <c r="C476" i="15"/>
  <c r="C477" i="15"/>
  <c r="C478" i="15"/>
  <c r="C479" i="15"/>
  <c r="C480" i="15"/>
  <c r="C481" i="15"/>
  <c r="C482" i="15"/>
  <c r="C483" i="15"/>
  <c r="C484" i="15"/>
  <c r="C485" i="15"/>
  <c r="C486" i="15"/>
  <c r="C487" i="15"/>
  <c r="C488" i="15"/>
  <c r="C489" i="15"/>
  <c r="C490" i="15"/>
  <c r="C491" i="15"/>
  <c r="C492" i="15"/>
  <c r="B2" i="14"/>
  <c r="N30" i="18"/>
  <c r="Q185" i="20"/>
  <c r="R185" i="20"/>
  <c r="L91" i="4"/>
  <c r="F78" i="15" s="1"/>
  <c r="L93" i="3"/>
  <c r="E78" i="15" s="1"/>
  <c r="E204" i="15" s="1"/>
  <c r="F83" i="21"/>
  <c r="G83" i="21"/>
  <c r="H83" i="21"/>
  <c r="I83" i="21"/>
  <c r="J83" i="21"/>
  <c r="K83" i="21"/>
  <c r="L83" i="21"/>
  <c r="M83" i="21"/>
  <c r="N83" i="21"/>
  <c r="S101" i="20"/>
  <c r="S97" i="20"/>
  <c r="S93" i="20"/>
  <c r="S90" i="20"/>
  <c r="F123" i="21"/>
  <c r="G123" i="21"/>
  <c r="H123" i="21"/>
  <c r="I123" i="21"/>
  <c r="J123" i="21"/>
  <c r="K123" i="21"/>
  <c r="L123" i="21"/>
  <c r="M123" i="21"/>
  <c r="N123" i="21"/>
  <c r="E123" i="21"/>
  <c r="E122" i="21"/>
  <c r="F122" i="21"/>
  <c r="G122" i="21"/>
  <c r="H122" i="21"/>
  <c r="I122" i="21"/>
  <c r="J122" i="21"/>
  <c r="K122" i="21"/>
  <c r="L122" i="21"/>
  <c r="M122" i="21"/>
  <c r="N122" i="21"/>
  <c r="P73" i="21"/>
  <c r="Q73" i="21" s="1"/>
  <c r="P74" i="21"/>
  <c r="Q74" i="21" s="1"/>
  <c r="P75" i="21"/>
  <c r="P76" i="21"/>
  <c r="P77" i="21"/>
  <c r="Q77" i="21" s="1"/>
  <c r="O73" i="21"/>
  <c r="O74" i="21"/>
  <c r="O75" i="21"/>
  <c r="O76" i="21"/>
  <c r="O77" i="21"/>
  <c r="P60" i="21"/>
  <c r="Q60" i="21" s="1"/>
  <c r="P61" i="21"/>
  <c r="Q61" i="21" s="1"/>
  <c r="P62" i="21"/>
  <c r="Q62" i="21" s="1"/>
  <c r="P63" i="21"/>
  <c r="P64" i="21"/>
  <c r="Q64" i="21" s="1"/>
  <c r="O60" i="21"/>
  <c r="O61" i="21"/>
  <c r="O62" i="21"/>
  <c r="O63" i="21"/>
  <c r="O64" i="21"/>
  <c r="P40" i="21"/>
  <c r="Q40" i="21" s="1"/>
  <c r="P41" i="21"/>
  <c r="Q41" i="21" s="1"/>
  <c r="P42" i="21"/>
  <c r="Q42" i="21" s="1"/>
  <c r="P43" i="21"/>
  <c r="P44" i="21"/>
  <c r="Q44" i="21" s="1"/>
  <c r="O40" i="21"/>
  <c r="O41" i="21"/>
  <c r="O107" i="21" s="1"/>
  <c r="O42" i="21"/>
  <c r="O108" i="21" s="1"/>
  <c r="O43" i="21"/>
  <c r="O44" i="21"/>
  <c r="P27" i="21"/>
  <c r="Q27" i="21" s="1"/>
  <c r="P28" i="21"/>
  <c r="Q28" i="21" s="1"/>
  <c r="P29" i="21"/>
  <c r="Q29" i="21" s="1"/>
  <c r="P30" i="21"/>
  <c r="Q30" i="21" s="1"/>
  <c r="P31" i="21"/>
  <c r="Q31" i="21" s="1"/>
  <c r="O27" i="21"/>
  <c r="O93" i="21" s="1"/>
  <c r="O28" i="21"/>
  <c r="O29" i="21"/>
  <c r="O95" i="21" s="1"/>
  <c r="O30" i="21"/>
  <c r="O31" i="21"/>
  <c r="E78" i="21"/>
  <c r="O78" i="21" s="1"/>
  <c r="F78" i="21"/>
  <c r="G78" i="21"/>
  <c r="H78" i="21"/>
  <c r="I78" i="21"/>
  <c r="J78" i="21"/>
  <c r="K78" i="21"/>
  <c r="L78" i="21"/>
  <c r="M78" i="21"/>
  <c r="M79" i="21" s="1"/>
  <c r="N78" i="21"/>
  <c r="E67" i="21"/>
  <c r="F67" i="21"/>
  <c r="O67" i="21" s="1"/>
  <c r="G67" i="21"/>
  <c r="H67" i="21"/>
  <c r="I67" i="21"/>
  <c r="J67" i="21"/>
  <c r="J68" i="21"/>
  <c r="J80" i="21" s="1"/>
  <c r="K67" i="21"/>
  <c r="K79" i="21" s="1"/>
  <c r="L67" i="21"/>
  <c r="M67" i="21"/>
  <c r="N67" i="21"/>
  <c r="N68" i="21" s="1"/>
  <c r="J194" i="20"/>
  <c r="K194" i="20"/>
  <c r="L194" i="20"/>
  <c r="M194" i="20"/>
  <c r="N194" i="20"/>
  <c r="O194" i="20"/>
  <c r="S194" i="20"/>
  <c r="Q176" i="20"/>
  <c r="Q194" i="20"/>
  <c r="R176" i="20"/>
  <c r="R194" i="20"/>
  <c r="P176" i="20"/>
  <c r="P194" i="20"/>
  <c r="J176" i="20"/>
  <c r="K176" i="20"/>
  <c r="L176" i="20"/>
  <c r="M176" i="20"/>
  <c r="N176" i="20"/>
  <c r="O176" i="20"/>
  <c r="J149" i="20"/>
  <c r="K149" i="20"/>
  <c r="L149" i="20"/>
  <c r="M149" i="20"/>
  <c r="N149" i="20"/>
  <c r="O149" i="20"/>
  <c r="J123" i="20"/>
  <c r="K123" i="20"/>
  <c r="L123" i="20"/>
  <c r="M123" i="20"/>
  <c r="N123" i="20"/>
  <c r="O123" i="20"/>
  <c r="I43" i="20"/>
  <c r="C2" i="21"/>
  <c r="P72" i="21"/>
  <c r="P66" i="21"/>
  <c r="P59" i="21"/>
  <c r="Q59" i="21" s="1"/>
  <c r="P39" i="21"/>
  <c r="P33" i="21"/>
  <c r="P26" i="21"/>
  <c r="Q26" i="21" s="1"/>
  <c r="C65" i="21"/>
  <c r="C98" i="21"/>
  <c r="E110" i="21"/>
  <c r="F110" i="21"/>
  <c r="G110" i="21"/>
  <c r="H110" i="21"/>
  <c r="I110" i="21"/>
  <c r="J110" i="21"/>
  <c r="K110" i="21"/>
  <c r="L110" i="21"/>
  <c r="M110" i="21"/>
  <c r="N110" i="21"/>
  <c r="D110" i="21"/>
  <c r="J29" i="20"/>
  <c r="J35" i="20"/>
  <c r="J52" i="20"/>
  <c r="J58" i="20"/>
  <c r="J74" i="20"/>
  <c r="J77" i="20"/>
  <c r="J81" i="20"/>
  <c r="J90" i="20"/>
  <c r="J111" i="20"/>
  <c r="J235" i="20"/>
  <c r="J242" i="20"/>
  <c r="K29" i="20"/>
  <c r="K35" i="20"/>
  <c r="K52" i="20"/>
  <c r="K58" i="20"/>
  <c r="K74" i="20"/>
  <c r="K77" i="20"/>
  <c r="K81" i="20"/>
  <c r="K90" i="20"/>
  <c r="K111" i="20"/>
  <c r="K235" i="20"/>
  <c r="K242" i="20"/>
  <c r="L29" i="20"/>
  <c r="L35" i="20"/>
  <c r="L52" i="20"/>
  <c r="L58" i="20"/>
  <c r="L74" i="20"/>
  <c r="L77" i="20"/>
  <c r="L81" i="20"/>
  <c r="L90" i="20"/>
  <c r="L111" i="20"/>
  <c r="L235" i="20"/>
  <c r="L242" i="20"/>
  <c r="M29" i="20"/>
  <c r="M35" i="20"/>
  <c r="M52" i="20"/>
  <c r="M58" i="20"/>
  <c r="M74" i="20"/>
  <c r="M77" i="20"/>
  <c r="M81" i="20"/>
  <c r="M90" i="20"/>
  <c r="M111" i="20"/>
  <c r="M235" i="20"/>
  <c r="M242" i="20"/>
  <c r="N29" i="20"/>
  <c r="N35" i="20"/>
  <c r="N52" i="20"/>
  <c r="N58" i="20"/>
  <c r="N74" i="20"/>
  <c r="N77" i="20"/>
  <c r="N81" i="20"/>
  <c r="N90" i="20"/>
  <c r="N111" i="20"/>
  <c r="N235" i="20"/>
  <c r="N242" i="20"/>
  <c r="O29" i="20"/>
  <c r="O35" i="20"/>
  <c r="O52" i="20"/>
  <c r="O58" i="20"/>
  <c r="O74" i="20"/>
  <c r="O77" i="20"/>
  <c r="O81" i="20"/>
  <c r="O90" i="20"/>
  <c r="O111" i="20"/>
  <c r="O235" i="20"/>
  <c r="O242" i="20"/>
  <c r="I29" i="20"/>
  <c r="I35" i="20"/>
  <c r="I52" i="20"/>
  <c r="I58" i="20"/>
  <c r="I74" i="20"/>
  <c r="I77" i="20"/>
  <c r="I81" i="20"/>
  <c r="I90" i="20"/>
  <c r="I111" i="20"/>
  <c r="T177" i="15"/>
  <c r="V177" i="15"/>
  <c r="W177" i="15" s="1"/>
  <c r="X177" i="15"/>
  <c r="Y177" i="15"/>
  <c r="AB177" i="15"/>
  <c r="AD177" i="15" s="1"/>
  <c r="AE177" i="15" s="1"/>
  <c r="AF177" i="15"/>
  <c r="AH177" i="15"/>
  <c r="AI177" i="15" s="1"/>
  <c r="AJ177" i="15"/>
  <c r="AK177" i="15"/>
  <c r="M570" i="15"/>
  <c r="M571" i="15" s="1"/>
  <c r="M617" i="15"/>
  <c r="M659" i="15"/>
  <c r="E109" i="21"/>
  <c r="F109" i="21"/>
  <c r="G109" i="21"/>
  <c r="H109" i="21"/>
  <c r="I109" i="21"/>
  <c r="J109" i="21"/>
  <c r="K109" i="21"/>
  <c r="L109" i="21"/>
  <c r="M109" i="21"/>
  <c r="N109" i="21"/>
  <c r="D109" i="21"/>
  <c r="D659" i="15"/>
  <c r="D638" i="15"/>
  <c r="D617" i="15"/>
  <c r="D571" i="15"/>
  <c r="M494" i="15"/>
  <c r="F166" i="15"/>
  <c r="N166" i="15" s="1"/>
  <c r="O166" i="15" s="1"/>
  <c r="F145" i="15"/>
  <c r="N145" i="15"/>
  <c r="O145" i="15" s="1"/>
  <c r="G504" i="15"/>
  <c r="J18" i="20"/>
  <c r="J53" i="20"/>
  <c r="K18" i="20"/>
  <c r="K53" i="20"/>
  <c r="D67" i="21"/>
  <c r="D68" i="21"/>
  <c r="D78" i="21"/>
  <c r="D79" i="21" s="1"/>
  <c r="D45" i="21"/>
  <c r="D111" i="21" s="1"/>
  <c r="E45" i="21"/>
  <c r="I197" i="20"/>
  <c r="F45" i="21"/>
  <c r="J197" i="20" s="1"/>
  <c r="G45" i="21"/>
  <c r="G111" i="21" s="1"/>
  <c r="H45" i="21"/>
  <c r="L197" i="20" s="1"/>
  <c r="I45" i="21"/>
  <c r="M197" i="20" s="1"/>
  <c r="J45" i="21"/>
  <c r="J111" i="21" s="1"/>
  <c r="K45" i="21"/>
  <c r="O197" i="20" s="1"/>
  <c r="L45" i="21"/>
  <c r="P197" i="20" s="1"/>
  <c r="M45" i="21"/>
  <c r="Q197" i="20" s="1"/>
  <c r="N45" i="21"/>
  <c r="N111" i="21" s="1"/>
  <c r="D34" i="21"/>
  <c r="D35" i="21" s="1"/>
  <c r="E34" i="21"/>
  <c r="E35" i="21" s="1"/>
  <c r="F34" i="21"/>
  <c r="J195" i="20" s="1"/>
  <c r="G34" i="21"/>
  <c r="H34" i="21"/>
  <c r="H35" i="21" s="1"/>
  <c r="I34" i="21"/>
  <c r="M195" i="20" s="1"/>
  <c r="J34" i="21"/>
  <c r="J100" i="21" s="1"/>
  <c r="K34" i="21"/>
  <c r="O195" i="20" s="1"/>
  <c r="L34" i="21"/>
  <c r="L100" i="21" s="1"/>
  <c r="M34" i="21"/>
  <c r="Q195" i="20" s="1"/>
  <c r="N34" i="21"/>
  <c r="N35" i="21" s="1"/>
  <c r="I81" i="4"/>
  <c r="J81" i="4"/>
  <c r="K81" i="4"/>
  <c r="I70" i="4"/>
  <c r="J70" i="4"/>
  <c r="J83" i="4" s="1"/>
  <c r="K70" i="4"/>
  <c r="I59" i="4"/>
  <c r="J59" i="4"/>
  <c r="K59" i="4"/>
  <c r="I33" i="4"/>
  <c r="J33" i="4"/>
  <c r="K33" i="4"/>
  <c r="L34" i="4"/>
  <c r="F89" i="15" s="1"/>
  <c r="L60" i="4"/>
  <c r="F135" i="15" s="1"/>
  <c r="L62" i="4"/>
  <c r="G62" i="4"/>
  <c r="L71" i="4"/>
  <c r="F156" i="15"/>
  <c r="L72" i="4"/>
  <c r="F157" i="15"/>
  <c r="N157" i="15" s="1"/>
  <c r="O157" i="15" s="1"/>
  <c r="I83" i="3"/>
  <c r="J83" i="3"/>
  <c r="K83" i="3"/>
  <c r="I72" i="3"/>
  <c r="J72" i="3"/>
  <c r="K72" i="3"/>
  <c r="I61" i="3"/>
  <c r="J61" i="3"/>
  <c r="K61" i="3"/>
  <c r="I35" i="3"/>
  <c r="J35" i="3"/>
  <c r="K35" i="3"/>
  <c r="L36" i="3"/>
  <c r="E89" i="15" s="1"/>
  <c r="E215" i="15" s="1"/>
  <c r="L62" i="3"/>
  <c r="E135" i="15" s="1"/>
  <c r="E261" i="15" s="1"/>
  <c r="L73" i="3"/>
  <c r="E156" i="15"/>
  <c r="H11" i="14"/>
  <c r="E57" i="13"/>
  <c r="E72" i="13"/>
  <c r="E58" i="13"/>
  <c r="E73" i="13"/>
  <c r="E59" i="13"/>
  <c r="E74" i="13"/>
  <c r="E60" i="13"/>
  <c r="E75" i="13"/>
  <c r="E61" i="13"/>
  <c r="E76" i="13"/>
  <c r="E62" i="13"/>
  <c r="E77" i="13"/>
  <c r="E63" i="13"/>
  <c r="E56" i="13"/>
  <c r="E71" i="13"/>
  <c r="I68" i="20"/>
  <c r="H30" i="14"/>
  <c r="H28" i="14"/>
  <c r="H33" i="14" s="1"/>
  <c r="I71" i="13" s="1"/>
  <c r="H20" i="14"/>
  <c r="F18" i="14"/>
  <c r="G75" i="13"/>
  <c r="G76" i="13"/>
  <c r="G77" i="13"/>
  <c r="F16" i="14"/>
  <c r="J238" i="20"/>
  <c r="K238" i="20"/>
  <c r="O238" i="20"/>
  <c r="N238" i="20"/>
  <c r="M238" i="20"/>
  <c r="L238" i="20"/>
  <c r="G74" i="13"/>
  <c r="G72" i="13"/>
  <c r="G73" i="13"/>
  <c r="N65" i="18"/>
  <c r="P185" i="20"/>
  <c r="D80" i="18"/>
  <c r="I184" i="20" s="1"/>
  <c r="E80" i="18"/>
  <c r="J95" i="20"/>
  <c r="F80" i="18"/>
  <c r="K184" i="20"/>
  <c r="G80" i="18"/>
  <c r="L184" i="20"/>
  <c r="H80" i="18"/>
  <c r="M184" i="20"/>
  <c r="I80" i="18"/>
  <c r="N95" i="20"/>
  <c r="J80" i="18"/>
  <c r="O184" i="20"/>
  <c r="N46" i="18"/>
  <c r="D61" i="18"/>
  <c r="D62" i="18" s="1"/>
  <c r="I180" i="20"/>
  <c r="O170" i="20"/>
  <c r="K80" i="18"/>
  <c r="P184" i="20"/>
  <c r="L80" i="18"/>
  <c r="Q184" i="20"/>
  <c r="M80" i="18"/>
  <c r="R95" i="20"/>
  <c r="K95" i="20"/>
  <c r="E83" i="21"/>
  <c r="E116" i="21" s="1"/>
  <c r="E92" i="21"/>
  <c r="F92" i="21"/>
  <c r="G92" i="21"/>
  <c r="H92" i="21"/>
  <c r="I92" i="21"/>
  <c r="J92" i="21"/>
  <c r="K92" i="21"/>
  <c r="L92" i="21"/>
  <c r="M92" i="21"/>
  <c r="N92" i="21"/>
  <c r="E93" i="21"/>
  <c r="F93" i="21"/>
  <c r="G93" i="21"/>
  <c r="H93" i="21"/>
  <c r="I93" i="21"/>
  <c r="J93" i="21"/>
  <c r="K93" i="21"/>
  <c r="L93" i="21"/>
  <c r="M93" i="21"/>
  <c r="N93" i="21"/>
  <c r="E94" i="21"/>
  <c r="F94" i="21"/>
  <c r="G94" i="21"/>
  <c r="H94" i="21"/>
  <c r="I94" i="21"/>
  <c r="J94" i="21"/>
  <c r="K94" i="21"/>
  <c r="L94" i="21"/>
  <c r="M94" i="21"/>
  <c r="N94" i="21"/>
  <c r="E95" i="21"/>
  <c r="F95" i="21"/>
  <c r="G95" i="21"/>
  <c r="H95" i="21"/>
  <c r="I95" i="21"/>
  <c r="J95" i="21"/>
  <c r="K95" i="21"/>
  <c r="L95" i="21"/>
  <c r="M95" i="21"/>
  <c r="N95" i="21"/>
  <c r="E96" i="21"/>
  <c r="F96" i="21"/>
  <c r="G96" i="21"/>
  <c r="H96" i="21"/>
  <c r="I96" i="21"/>
  <c r="J96" i="21"/>
  <c r="K96" i="21"/>
  <c r="L96" i="21"/>
  <c r="M96" i="21"/>
  <c r="N96" i="21"/>
  <c r="E97" i="21"/>
  <c r="F97" i="21"/>
  <c r="G97" i="21"/>
  <c r="H97" i="21"/>
  <c r="I97" i="21"/>
  <c r="J97" i="21"/>
  <c r="K97" i="21"/>
  <c r="L97" i="21"/>
  <c r="M97" i="21"/>
  <c r="N97" i="21"/>
  <c r="E99" i="21"/>
  <c r="F99" i="21"/>
  <c r="G99" i="21"/>
  <c r="H99" i="21"/>
  <c r="I99" i="21"/>
  <c r="J99" i="21"/>
  <c r="K99" i="21"/>
  <c r="L99" i="21"/>
  <c r="M99" i="21"/>
  <c r="N99" i="21"/>
  <c r="D93" i="21"/>
  <c r="D94" i="21"/>
  <c r="D95" i="21"/>
  <c r="D96" i="21"/>
  <c r="D97" i="21"/>
  <c r="D99" i="21"/>
  <c r="D106" i="21"/>
  <c r="E106" i="21"/>
  <c r="F106" i="21"/>
  <c r="G106" i="21"/>
  <c r="H106" i="21"/>
  <c r="I106" i="21"/>
  <c r="J106" i="21"/>
  <c r="K106" i="21"/>
  <c r="L106" i="21"/>
  <c r="M106" i="21"/>
  <c r="N106" i="21"/>
  <c r="D107" i="21"/>
  <c r="E107" i="21"/>
  <c r="F107" i="21"/>
  <c r="G107" i="21"/>
  <c r="H107" i="21"/>
  <c r="I107" i="21"/>
  <c r="J107" i="21"/>
  <c r="K107" i="21"/>
  <c r="L107" i="21"/>
  <c r="M107" i="21"/>
  <c r="N107" i="21"/>
  <c r="D108" i="21"/>
  <c r="E108" i="21"/>
  <c r="F108" i="21"/>
  <c r="G108" i="21"/>
  <c r="H108" i="21"/>
  <c r="I108" i="21"/>
  <c r="J108" i="21"/>
  <c r="K108" i="21"/>
  <c r="L108" i="21"/>
  <c r="M108" i="21"/>
  <c r="N108" i="21"/>
  <c r="E105" i="21"/>
  <c r="F105" i="21"/>
  <c r="G105" i="21"/>
  <c r="H105" i="21"/>
  <c r="I105" i="21"/>
  <c r="J105" i="21"/>
  <c r="K105" i="21"/>
  <c r="L105" i="21"/>
  <c r="M105" i="21"/>
  <c r="N105" i="21"/>
  <c r="O83" i="21"/>
  <c r="F82" i="21"/>
  <c r="G82" i="21"/>
  <c r="H82" i="21"/>
  <c r="I82" i="21"/>
  <c r="J82" i="21"/>
  <c r="K82" i="21"/>
  <c r="L82" i="21"/>
  <c r="M82" i="21"/>
  <c r="N82" i="21"/>
  <c r="P82" i="21" s="1"/>
  <c r="E82" i="21"/>
  <c r="O72" i="21"/>
  <c r="O66" i="21"/>
  <c r="O59" i="21"/>
  <c r="G49" i="21"/>
  <c r="G115" i="21" s="1"/>
  <c r="H49" i="21"/>
  <c r="I49" i="21"/>
  <c r="I115" i="21" s="1"/>
  <c r="J49" i="21"/>
  <c r="J115" i="21" s="1"/>
  <c r="K49" i="21"/>
  <c r="K115" i="21" s="1"/>
  <c r="L49" i="21"/>
  <c r="M49" i="21"/>
  <c r="M115" i="21" s="1"/>
  <c r="N49" i="21"/>
  <c r="P49" i="21" s="1"/>
  <c r="O50" i="21"/>
  <c r="F50" i="21"/>
  <c r="F116" i="21" s="1"/>
  <c r="G50" i="21"/>
  <c r="H50" i="21"/>
  <c r="H116" i="21" s="1"/>
  <c r="I50" i="21"/>
  <c r="I116" i="21" s="1"/>
  <c r="J50" i="21"/>
  <c r="J116" i="21" s="1"/>
  <c r="K50" i="21"/>
  <c r="L50" i="21"/>
  <c r="L116" i="21" s="1"/>
  <c r="M50" i="21"/>
  <c r="M116" i="21" s="1"/>
  <c r="N50" i="21"/>
  <c r="E50" i="21"/>
  <c r="O33" i="21"/>
  <c r="O99" i="21"/>
  <c r="O26" i="21"/>
  <c r="O92" i="21" s="1"/>
  <c r="O39" i="21"/>
  <c r="E49" i="21"/>
  <c r="F49" i="21"/>
  <c r="F115" i="21" s="1"/>
  <c r="L15" i="3"/>
  <c r="L35" i="3" s="1"/>
  <c r="D35" i="3"/>
  <c r="D83" i="3"/>
  <c r="D72" i="3"/>
  <c r="D61" i="3"/>
  <c r="D59" i="4"/>
  <c r="D81" i="4"/>
  <c r="D70" i="4"/>
  <c r="D83" i="4" s="1"/>
  <c r="D33" i="4"/>
  <c r="C639" i="15"/>
  <c r="C649" i="15"/>
  <c r="C584" i="15"/>
  <c r="C585" i="15"/>
  <c r="C586" i="15"/>
  <c r="C618" i="15"/>
  <c r="C628" i="15"/>
  <c r="C572" i="15"/>
  <c r="C573" i="15"/>
  <c r="C574" i="15"/>
  <c r="C575" i="15"/>
  <c r="C576" i="15"/>
  <c r="C577" i="15"/>
  <c r="C578" i="15"/>
  <c r="C579" i="15"/>
  <c r="C580" i="15"/>
  <c r="C581" i="15"/>
  <c r="C582" i="15"/>
  <c r="C583" i="15"/>
  <c r="C539" i="15"/>
  <c r="D539" i="15"/>
  <c r="C541" i="15"/>
  <c r="C515" i="15"/>
  <c r="D156" i="15"/>
  <c r="D515" i="15"/>
  <c r="C525" i="15"/>
  <c r="D166" i="15"/>
  <c r="D292" i="15" s="1"/>
  <c r="D649" i="15"/>
  <c r="C453" i="15"/>
  <c r="C454" i="15"/>
  <c r="C455" i="15"/>
  <c r="C456" i="15"/>
  <c r="C457" i="15"/>
  <c r="C458" i="15"/>
  <c r="C459" i="15"/>
  <c r="C460" i="15"/>
  <c r="C461" i="15"/>
  <c r="C462" i="15"/>
  <c r="C473" i="15"/>
  <c r="D114" i="15"/>
  <c r="C494" i="15"/>
  <c r="D135" i="15"/>
  <c r="D494" i="15" s="1"/>
  <c r="C504" i="15"/>
  <c r="D145" i="15"/>
  <c r="C418" i="15"/>
  <c r="C419" i="15"/>
  <c r="C420" i="15"/>
  <c r="C421" i="15"/>
  <c r="C422" i="15"/>
  <c r="C423" i="15"/>
  <c r="C424" i="15"/>
  <c r="C425" i="15"/>
  <c r="C426" i="15"/>
  <c r="C437" i="15"/>
  <c r="C444" i="15"/>
  <c r="C445" i="15"/>
  <c r="C446" i="15"/>
  <c r="C448" i="15"/>
  <c r="D89" i="15"/>
  <c r="C449" i="15"/>
  <c r="C450" i="15"/>
  <c r="C451" i="15"/>
  <c r="C452" i="15"/>
  <c r="C417" i="15"/>
  <c r="D58" i="15"/>
  <c r="D184" i="15" s="1"/>
  <c r="D541" i="15" s="1"/>
  <c r="C45" i="13"/>
  <c r="C57" i="13"/>
  <c r="C44" i="13"/>
  <c r="E21" i="15"/>
  <c r="E57" i="15" s="1"/>
  <c r="F67" i="19" s="1"/>
  <c r="F87" i="19" s="1"/>
  <c r="G45" i="13"/>
  <c r="G46" i="13"/>
  <c r="G47" i="13"/>
  <c r="G48" i="13"/>
  <c r="G49" i="13"/>
  <c r="G50" i="13"/>
  <c r="G51" i="13"/>
  <c r="O30" i="20"/>
  <c r="N30" i="20"/>
  <c r="M30" i="20"/>
  <c r="L30" i="20"/>
  <c r="K30" i="20"/>
  <c r="J30" i="20"/>
  <c r="O18" i="20"/>
  <c r="O53" i="20"/>
  <c r="N18" i="20"/>
  <c r="N53" i="20"/>
  <c r="M18" i="20"/>
  <c r="M53" i="20" s="1"/>
  <c r="L18" i="20"/>
  <c r="L53" i="20"/>
  <c r="I41" i="20"/>
  <c r="H55" i="13"/>
  <c r="G55" i="13"/>
  <c r="F55" i="13"/>
  <c r="D105" i="21"/>
  <c r="D92" i="21"/>
  <c r="E55" i="21"/>
  <c r="E88" i="21"/>
  <c r="E119" i="21"/>
  <c r="F55" i="21"/>
  <c r="F88" i="21"/>
  <c r="F119" i="21"/>
  <c r="G55" i="21"/>
  <c r="G88" i="21"/>
  <c r="G119" i="21"/>
  <c r="H55" i="21"/>
  <c r="H88" i="21"/>
  <c r="H119" i="21"/>
  <c r="I55" i="21"/>
  <c r="I88" i="21"/>
  <c r="I119" i="21"/>
  <c r="J55" i="21"/>
  <c r="J88" i="21"/>
  <c r="J119" i="21"/>
  <c r="K55" i="21"/>
  <c r="K88" i="21"/>
  <c r="K119" i="21"/>
  <c r="L55" i="21"/>
  <c r="L88" i="21"/>
  <c r="L119" i="21"/>
  <c r="M55" i="21"/>
  <c r="M88" i="21"/>
  <c r="M119" i="21"/>
  <c r="N55" i="21"/>
  <c r="N88" i="21"/>
  <c r="N119" i="21"/>
  <c r="D55" i="21"/>
  <c r="D88" i="21"/>
  <c r="D119" i="21"/>
  <c r="L84" i="3"/>
  <c r="L151" i="3"/>
  <c r="L152" i="3"/>
  <c r="L153" i="3"/>
  <c r="L159" i="3"/>
  <c r="L154" i="3"/>
  <c r="L155" i="3"/>
  <c r="L156" i="3"/>
  <c r="L157" i="3"/>
  <c r="L158" i="3"/>
  <c r="K70" i="13"/>
  <c r="I30" i="20"/>
  <c r="C2" i="18"/>
  <c r="C2" i="19"/>
  <c r="Q27" i="19"/>
  <c r="R27" i="19" s="1"/>
  <c r="Q29" i="19"/>
  <c r="R29" i="19" s="1"/>
  <c r="Q31" i="19"/>
  <c r="R31" i="19" s="1"/>
  <c r="S33" i="19"/>
  <c r="T33" i="19" s="1"/>
  <c r="Q35" i="19"/>
  <c r="R35" i="19" s="1"/>
  <c r="Q37" i="19"/>
  <c r="R37" i="19"/>
  <c r="Q38" i="19"/>
  <c r="R38" i="19" s="1"/>
  <c r="Q39" i="19"/>
  <c r="R39" i="19" s="1"/>
  <c r="Q40" i="19"/>
  <c r="R40" i="19" s="1"/>
  <c r="D47" i="19"/>
  <c r="D48" i="19"/>
  <c r="Q48" i="19"/>
  <c r="R48" i="19" s="1"/>
  <c r="D49" i="19"/>
  <c r="Q49" i="19"/>
  <c r="R49" i="19" s="1"/>
  <c r="D50" i="19"/>
  <c r="D51" i="19"/>
  <c r="D52" i="19"/>
  <c r="D53" i="19"/>
  <c r="D54" i="19"/>
  <c r="D55" i="19"/>
  <c r="D56" i="19"/>
  <c r="D57" i="19"/>
  <c r="D58" i="19"/>
  <c r="Q58" i="19"/>
  <c r="R58" i="19" s="1"/>
  <c r="D59" i="19"/>
  <c r="D60" i="19"/>
  <c r="Q60" i="19"/>
  <c r="R60" i="19" s="1"/>
  <c r="Q68" i="19"/>
  <c r="R68" i="19" s="1"/>
  <c r="Q69" i="19"/>
  <c r="R69" i="19" s="1"/>
  <c r="S71" i="19"/>
  <c r="Q73" i="19"/>
  <c r="R73" i="19"/>
  <c r="Q77" i="19"/>
  <c r="R77" i="19" s="1"/>
  <c r="Q81" i="19"/>
  <c r="R81" i="19"/>
  <c r="D88" i="19"/>
  <c r="D89" i="19"/>
  <c r="Q89" i="19"/>
  <c r="R89" i="19" s="1"/>
  <c r="S89" i="19"/>
  <c r="T89" i="19" s="1"/>
  <c r="D90" i="19"/>
  <c r="Q90" i="19"/>
  <c r="R90" i="19" s="1"/>
  <c r="D91" i="19"/>
  <c r="Q91" i="19"/>
  <c r="R91" i="19" s="1"/>
  <c r="D92" i="19"/>
  <c r="D93" i="19"/>
  <c r="D94" i="19"/>
  <c r="Q94" i="19"/>
  <c r="R94" i="19" s="1"/>
  <c r="D95" i="19"/>
  <c r="Q95" i="19"/>
  <c r="R95" i="19" s="1"/>
  <c r="D96" i="19"/>
  <c r="D97" i="19"/>
  <c r="Q97" i="19"/>
  <c r="R97" i="19" s="1"/>
  <c r="D98" i="19"/>
  <c r="D99" i="19"/>
  <c r="Q99" i="19"/>
  <c r="R99" i="19"/>
  <c r="D100" i="19"/>
  <c r="D101" i="19"/>
  <c r="Q109" i="19"/>
  <c r="R109" i="19" s="1"/>
  <c r="Q110" i="19"/>
  <c r="R110" i="19" s="1"/>
  <c r="Q111" i="19"/>
  <c r="R111" i="19" s="1"/>
  <c r="Q113" i="19"/>
  <c r="R113" i="19"/>
  <c r="Q114" i="19"/>
  <c r="R114" i="19" s="1"/>
  <c r="W114" i="19"/>
  <c r="Q117" i="19"/>
  <c r="R117" i="19" s="1"/>
  <c r="Q118" i="19"/>
  <c r="R118" i="19" s="1"/>
  <c r="Q121" i="19"/>
  <c r="R121" i="19"/>
  <c r="Q122" i="19"/>
  <c r="R122" i="19" s="1"/>
  <c r="D129" i="19"/>
  <c r="D130" i="19"/>
  <c r="D131" i="19"/>
  <c r="D132" i="19"/>
  <c r="Q132" i="19"/>
  <c r="R132" i="19"/>
  <c r="D133" i="19"/>
  <c r="Q133" i="19"/>
  <c r="R133" i="19" s="1"/>
  <c r="D134" i="19"/>
  <c r="D135" i="19"/>
  <c r="D136" i="19"/>
  <c r="Q136" i="19"/>
  <c r="R136" i="19" s="1"/>
  <c r="D137" i="19"/>
  <c r="D138" i="19"/>
  <c r="D139" i="19"/>
  <c r="D140" i="19"/>
  <c r="D141" i="19"/>
  <c r="D142" i="19"/>
  <c r="C2" i="15"/>
  <c r="N22" i="15"/>
  <c r="O22" i="15" s="1"/>
  <c r="P22" i="15"/>
  <c r="R22" i="15"/>
  <c r="S22" i="15" s="1"/>
  <c r="T22" i="15"/>
  <c r="U22" i="15"/>
  <c r="X22" i="15"/>
  <c r="Y22" i="15" s="1"/>
  <c r="AB22" i="15"/>
  <c r="AC22" i="15"/>
  <c r="AD22" i="15"/>
  <c r="AE22" i="15" s="1"/>
  <c r="AF22" i="15"/>
  <c r="AH22" i="15"/>
  <c r="AI22" i="15"/>
  <c r="AJ22" i="15"/>
  <c r="AK22" i="15" s="1"/>
  <c r="AJ51" i="15"/>
  <c r="N303" i="15"/>
  <c r="O303" i="15"/>
  <c r="P303" i="15"/>
  <c r="Q303" i="15"/>
  <c r="T303" i="15"/>
  <c r="U303" i="15"/>
  <c r="X303" i="15"/>
  <c r="Y303" i="15"/>
  <c r="AB303" i="15"/>
  <c r="AC303" i="15"/>
  <c r="AF303" i="15"/>
  <c r="AH303" i="15"/>
  <c r="AI303" i="15"/>
  <c r="AJ303" i="15"/>
  <c r="N317" i="15"/>
  <c r="O317" i="15"/>
  <c r="P317" i="15"/>
  <c r="T317" i="15"/>
  <c r="U317" i="15"/>
  <c r="X317" i="15"/>
  <c r="AB317" i="15"/>
  <c r="AD317" i="15" s="1"/>
  <c r="AE317" i="15" s="1"/>
  <c r="AF317" i="15"/>
  <c r="AJ317" i="15"/>
  <c r="AK317" i="15"/>
  <c r="N318" i="15"/>
  <c r="O318" i="15" s="1"/>
  <c r="P318" i="15"/>
  <c r="R318" i="15"/>
  <c r="S318" i="15"/>
  <c r="T318" i="15"/>
  <c r="V318" i="15" s="1"/>
  <c r="W318" i="15" s="1"/>
  <c r="X318" i="15"/>
  <c r="Y318" i="15"/>
  <c r="AB318" i="15"/>
  <c r="AF318" i="15"/>
  <c r="AG318" i="15"/>
  <c r="AJ318" i="15"/>
  <c r="N319" i="15"/>
  <c r="O319" i="15"/>
  <c r="P319" i="15"/>
  <c r="T319" i="15"/>
  <c r="V319" i="15"/>
  <c r="W319" i="15"/>
  <c r="X319" i="15"/>
  <c r="Z319" i="15" s="1"/>
  <c r="AA319" i="15" s="1"/>
  <c r="AB319" i="15"/>
  <c r="AF319" i="15"/>
  <c r="AJ319" i="15"/>
  <c r="AK319" i="15"/>
  <c r="N320" i="15"/>
  <c r="O320" i="15" s="1"/>
  <c r="P320" i="15"/>
  <c r="Q320" i="15"/>
  <c r="T320" i="15"/>
  <c r="X320" i="15"/>
  <c r="Y320" i="15"/>
  <c r="AB320" i="15"/>
  <c r="AF320" i="15"/>
  <c r="AH320" i="15" s="1"/>
  <c r="AI320" i="15" s="1"/>
  <c r="AJ320" i="15"/>
  <c r="N321" i="15"/>
  <c r="O321" i="15" s="1"/>
  <c r="P321" i="15"/>
  <c r="T321" i="15"/>
  <c r="V321" i="15" s="1"/>
  <c r="W321" i="15" s="1"/>
  <c r="X321" i="15"/>
  <c r="AB321" i="15"/>
  <c r="AD321" i="15"/>
  <c r="AE321" i="15" s="1"/>
  <c r="AF321" i="15"/>
  <c r="AJ321" i="15"/>
  <c r="N322" i="15"/>
  <c r="O322" i="15" s="1"/>
  <c r="P322" i="15"/>
  <c r="R322" i="15"/>
  <c r="S322" i="15" s="1"/>
  <c r="T322" i="15"/>
  <c r="U322" i="15"/>
  <c r="X322" i="15"/>
  <c r="AB322" i="15"/>
  <c r="AF322" i="15"/>
  <c r="AG322" i="15"/>
  <c r="AJ322" i="15"/>
  <c r="N323" i="15"/>
  <c r="O323" i="15"/>
  <c r="P323" i="15"/>
  <c r="T323" i="15"/>
  <c r="U323" i="15"/>
  <c r="X323" i="15"/>
  <c r="AB323" i="15"/>
  <c r="AD323" i="15" s="1"/>
  <c r="AE323" i="15" s="1"/>
  <c r="AF323" i="15"/>
  <c r="AJ323" i="15"/>
  <c r="AL323" i="15" s="1"/>
  <c r="AM323" i="15" s="1"/>
  <c r="N324" i="15"/>
  <c r="O324" i="15"/>
  <c r="P324" i="15"/>
  <c r="Q324" i="15"/>
  <c r="T324" i="15"/>
  <c r="U324" i="15"/>
  <c r="X324" i="15"/>
  <c r="Z324" i="15"/>
  <c r="AA324" i="15"/>
  <c r="AB324" i="15"/>
  <c r="AF324" i="15"/>
  <c r="AG324" i="15"/>
  <c r="AJ324" i="15"/>
  <c r="AK324" i="15"/>
  <c r="N325" i="15"/>
  <c r="O325" i="15"/>
  <c r="P325" i="15"/>
  <c r="T325" i="15"/>
  <c r="X325" i="15"/>
  <c r="AB325" i="15"/>
  <c r="AD325" i="15" s="1"/>
  <c r="AE325" i="15" s="1"/>
  <c r="AF325" i="15"/>
  <c r="AJ325" i="15"/>
  <c r="AL325" i="15" s="1"/>
  <c r="AM325" i="15" s="1"/>
  <c r="N326" i="15"/>
  <c r="O326" i="15" s="1"/>
  <c r="P326" i="15"/>
  <c r="T326" i="15"/>
  <c r="U326" i="15"/>
  <c r="X326" i="15"/>
  <c r="Y326" i="15" s="1"/>
  <c r="AB326" i="15"/>
  <c r="AF326" i="15"/>
  <c r="AG326" i="15" s="1"/>
  <c r="AJ326" i="15"/>
  <c r="AL326" i="15"/>
  <c r="AM326" i="15"/>
  <c r="N327" i="15"/>
  <c r="O327" i="15" s="1"/>
  <c r="P327" i="15"/>
  <c r="T327" i="15"/>
  <c r="U327" i="15" s="1"/>
  <c r="X327" i="15"/>
  <c r="AB327" i="15"/>
  <c r="AD327" i="15"/>
  <c r="AE327" i="15" s="1"/>
  <c r="AF327" i="15"/>
  <c r="AJ327" i="15"/>
  <c r="AL327" i="15"/>
  <c r="AM327" i="15" s="1"/>
  <c r="N328" i="15"/>
  <c r="O328" i="15"/>
  <c r="P328" i="15"/>
  <c r="T328" i="15"/>
  <c r="X328" i="15"/>
  <c r="Y328" i="15"/>
  <c r="AB328" i="15"/>
  <c r="AC328" i="15" s="1"/>
  <c r="AF328" i="15"/>
  <c r="AH328" i="15"/>
  <c r="AI328" i="15"/>
  <c r="AJ328" i="15"/>
  <c r="N329" i="15"/>
  <c r="O329" i="15"/>
  <c r="P329" i="15"/>
  <c r="R329" i="15" s="1"/>
  <c r="S329" i="15" s="1"/>
  <c r="T329" i="15"/>
  <c r="V329" i="15" s="1"/>
  <c r="W329" i="15" s="1"/>
  <c r="X329" i="15"/>
  <c r="AB329" i="15"/>
  <c r="AF329" i="15"/>
  <c r="AG329" i="15"/>
  <c r="AJ329" i="15"/>
  <c r="AK329" i="15" s="1"/>
  <c r="N330" i="15"/>
  <c r="O330" i="15" s="1"/>
  <c r="P330" i="15"/>
  <c r="Q330" i="15"/>
  <c r="T330" i="15"/>
  <c r="V330" i="15" s="1"/>
  <c r="W330" i="15" s="1"/>
  <c r="X330" i="15"/>
  <c r="Z330" i="15"/>
  <c r="AA330" i="15"/>
  <c r="AB330" i="15"/>
  <c r="AF330" i="15"/>
  <c r="AG330" i="15"/>
  <c r="AJ330" i="15"/>
  <c r="N331" i="15"/>
  <c r="O331" i="15"/>
  <c r="P331" i="15"/>
  <c r="T331" i="15"/>
  <c r="U331" i="15" s="1"/>
  <c r="X331" i="15"/>
  <c r="Y331" i="15"/>
  <c r="AB331" i="15"/>
  <c r="AF331" i="15"/>
  <c r="AG331" i="15"/>
  <c r="AJ331" i="15"/>
  <c r="N332" i="15"/>
  <c r="O332" i="15"/>
  <c r="P332" i="15"/>
  <c r="T332" i="15"/>
  <c r="X332" i="15"/>
  <c r="Z332" i="15"/>
  <c r="AA332" i="15"/>
  <c r="AB332" i="15"/>
  <c r="AC332" i="15"/>
  <c r="AF332" i="15"/>
  <c r="AG332" i="15"/>
  <c r="AJ332" i="15"/>
  <c r="N333" i="15"/>
  <c r="O333" i="15"/>
  <c r="P333" i="15"/>
  <c r="Q333" i="15" s="1"/>
  <c r="T333" i="15"/>
  <c r="V333" i="15"/>
  <c r="W333" i="15"/>
  <c r="X333" i="15"/>
  <c r="Y333" i="15"/>
  <c r="AB333" i="15"/>
  <c r="AF333" i="15"/>
  <c r="AJ333" i="15"/>
  <c r="AK333" i="15"/>
  <c r="N334" i="15"/>
  <c r="O334" i="15" s="1"/>
  <c r="P334" i="15"/>
  <c r="R334" i="15"/>
  <c r="S334" i="15" s="1"/>
  <c r="T334" i="15"/>
  <c r="U334" i="15"/>
  <c r="X334" i="15"/>
  <c r="Z334" i="15" s="1"/>
  <c r="AA334" i="15" s="1"/>
  <c r="AB334" i="15"/>
  <c r="AF334" i="15"/>
  <c r="AG334" i="15" s="1"/>
  <c r="AJ334" i="15"/>
  <c r="AL334" i="15" s="1"/>
  <c r="AM334" i="15" s="1"/>
  <c r="N335" i="15"/>
  <c r="O335" i="15" s="1"/>
  <c r="P335" i="15"/>
  <c r="T335" i="15"/>
  <c r="X335" i="15"/>
  <c r="AB335" i="15"/>
  <c r="AC335" i="15" s="1"/>
  <c r="AF335" i="15"/>
  <c r="AG335" i="15"/>
  <c r="AJ335" i="15"/>
  <c r="AL335" i="15" s="1"/>
  <c r="AM335" i="15" s="1"/>
  <c r="N336" i="15"/>
  <c r="O336" i="15"/>
  <c r="P336" i="15"/>
  <c r="Q336" i="15"/>
  <c r="T336" i="15"/>
  <c r="U336" i="15"/>
  <c r="X336" i="15"/>
  <c r="Z336" i="15"/>
  <c r="AA336" i="15"/>
  <c r="AB336" i="15"/>
  <c r="AF336" i="15"/>
  <c r="AH336" i="15"/>
  <c r="AI336" i="15" s="1"/>
  <c r="AJ336" i="15"/>
  <c r="N337" i="15"/>
  <c r="O337" i="15"/>
  <c r="P337" i="15"/>
  <c r="R337" i="15" s="1"/>
  <c r="S337" i="15" s="1"/>
  <c r="T337" i="15"/>
  <c r="U337" i="15"/>
  <c r="X337" i="15"/>
  <c r="AB337" i="15"/>
  <c r="AF337" i="15"/>
  <c r="AJ337" i="15"/>
  <c r="AL337" i="15" s="1"/>
  <c r="AM337" i="15" s="1"/>
  <c r="N345" i="15"/>
  <c r="O345" i="15" s="1"/>
  <c r="P345" i="15"/>
  <c r="Q345" i="15" s="1"/>
  <c r="T345" i="15"/>
  <c r="X345" i="15"/>
  <c r="Y345" i="15" s="1"/>
  <c r="AB345" i="15"/>
  <c r="AF345" i="15"/>
  <c r="AJ345" i="15"/>
  <c r="AK345" i="15"/>
  <c r="N346" i="15"/>
  <c r="O346" i="15" s="1"/>
  <c r="P346" i="15"/>
  <c r="T346" i="15"/>
  <c r="X346" i="15"/>
  <c r="AB346" i="15"/>
  <c r="AC346" i="15" s="1"/>
  <c r="AF346" i="15"/>
  <c r="AG346" i="15"/>
  <c r="AJ346" i="15"/>
  <c r="AK346" i="15" s="1"/>
  <c r="N347" i="15"/>
  <c r="O347" i="15"/>
  <c r="P347" i="15"/>
  <c r="T347" i="15"/>
  <c r="X347" i="15"/>
  <c r="AB347" i="15"/>
  <c r="AC347" i="15" s="1"/>
  <c r="AF347" i="15"/>
  <c r="AJ347" i="15"/>
  <c r="N348" i="15"/>
  <c r="O348" i="15"/>
  <c r="P348" i="15"/>
  <c r="T348" i="15"/>
  <c r="X348" i="15"/>
  <c r="Y348" i="15"/>
  <c r="AB348" i="15"/>
  <c r="AC348" i="15" s="1"/>
  <c r="AF348" i="15"/>
  <c r="AJ348" i="15"/>
  <c r="N349" i="15"/>
  <c r="P349" i="15"/>
  <c r="T349" i="15"/>
  <c r="X349" i="15"/>
  <c r="AB349" i="15"/>
  <c r="AF349" i="15"/>
  <c r="AG349" i="15"/>
  <c r="AJ349" i="15"/>
  <c r="N350" i="15"/>
  <c r="O350" i="15"/>
  <c r="P350" i="15"/>
  <c r="Q350" i="15" s="1"/>
  <c r="T350" i="15"/>
  <c r="X350" i="15"/>
  <c r="Y350" i="15" s="1"/>
  <c r="AB350" i="15"/>
  <c r="AC350" i="15" s="1"/>
  <c r="AF350" i="15"/>
  <c r="AJ350" i="15"/>
  <c r="N351" i="15"/>
  <c r="O351" i="15" s="1"/>
  <c r="P351" i="15"/>
  <c r="R351" i="15" s="1"/>
  <c r="S351" i="15" s="1"/>
  <c r="Q351" i="15"/>
  <c r="T351" i="15"/>
  <c r="V351" i="15" s="1"/>
  <c r="W351" i="15" s="1"/>
  <c r="X351" i="15"/>
  <c r="Y351" i="15"/>
  <c r="AB351" i="15"/>
  <c r="AF351" i="15"/>
  <c r="AJ351" i="15"/>
  <c r="N352" i="15"/>
  <c r="O352" i="15" s="1"/>
  <c r="P352" i="15"/>
  <c r="Q352" i="15" s="1"/>
  <c r="T352" i="15"/>
  <c r="X352" i="15"/>
  <c r="AB352" i="15"/>
  <c r="AC352" i="15"/>
  <c r="AF352" i="15"/>
  <c r="AJ352" i="15"/>
  <c r="N353" i="15"/>
  <c r="O353" i="15" s="1"/>
  <c r="P353" i="15"/>
  <c r="R353" i="15" s="1"/>
  <c r="S353" i="15" s="1"/>
  <c r="T353" i="15"/>
  <c r="X353" i="15"/>
  <c r="AB353" i="15"/>
  <c r="AC353" i="15"/>
  <c r="AF353" i="15"/>
  <c r="AJ353" i="15"/>
  <c r="N354" i="15"/>
  <c r="O354" i="15" s="1"/>
  <c r="P354" i="15"/>
  <c r="R354" i="15" s="1"/>
  <c r="S354" i="15" s="1"/>
  <c r="T354" i="15"/>
  <c r="V354" i="15"/>
  <c r="W354" i="15" s="1"/>
  <c r="X354" i="15"/>
  <c r="AB354" i="15"/>
  <c r="AF354" i="15"/>
  <c r="AJ354" i="15"/>
  <c r="AK354" i="15"/>
  <c r="N355" i="15"/>
  <c r="O355" i="15" s="1"/>
  <c r="P355" i="15"/>
  <c r="Q355" i="15" s="1"/>
  <c r="T355" i="15"/>
  <c r="X355" i="15"/>
  <c r="Z355" i="15" s="1"/>
  <c r="AA355" i="15" s="1"/>
  <c r="AB355" i="15"/>
  <c r="AC355" i="15"/>
  <c r="AF355" i="15"/>
  <c r="AG355" i="15" s="1"/>
  <c r="AJ355" i="15"/>
  <c r="N356" i="15"/>
  <c r="O356" i="15" s="1"/>
  <c r="P356" i="15"/>
  <c r="R356" i="15" s="1"/>
  <c r="S356" i="15" s="1"/>
  <c r="T356" i="15"/>
  <c r="U356" i="15"/>
  <c r="X356" i="15"/>
  <c r="Y356" i="15" s="1"/>
  <c r="AB356" i="15"/>
  <c r="AC356" i="15"/>
  <c r="AF356" i="15"/>
  <c r="AJ356" i="15"/>
  <c r="AL356" i="15"/>
  <c r="AM356" i="15" s="1"/>
  <c r="N357" i="15"/>
  <c r="O357" i="15"/>
  <c r="P357" i="15"/>
  <c r="Q357" i="15" s="1"/>
  <c r="T357" i="15"/>
  <c r="X357" i="15"/>
  <c r="AB357" i="15"/>
  <c r="AF357" i="15"/>
  <c r="AG357" i="15"/>
  <c r="AJ357" i="15"/>
  <c r="N358" i="15"/>
  <c r="O358" i="15" s="1"/>
  <c r="P358" i="15"/>
  <c r="Q358" i="15" s="1"/>
  <c r="T358" i="15"/>
  <c r="U358" i="15"/>
  <c r="X358" i="15"/>
  <c r="AB358" i="15"/>
  <c r="AF358" i="15"/>
  <c r="AJ358" i="15"/>
  <c r="AL358" i="15" s="1"/>
  <c r="AM358" i="15"/>
  <c r="N359" i="15"/>
  <c r="O359" i="15" s="1"/>
  <c r="P359" i="15"/>
  <c r="R359" i="15" s="1"/>
  <c r="S359" i="15"/>
  <c r="T359" i="15"/>
  <c r="V359" i="15" s="1"/>
  <c r="W359" i="15" s="1"/>
  <c r="X359" i="15"/>
  <c r="Y359" i="15"/>
  <c r="AB359" i="15"/>
  <c r="AF359" i="15"/>
  <c r="AG359" i="15"/>
  <c r="AJ359" i="15"/>
  <c r="N360" i="15"/>
  <c r="O360" i="15"/>
  <c r="P360" i="15"/>
  <c r="Q360" i="15" s="1"/>
  <c r="T360" i="15"/>
  <c r="U360" i="15" s="1"/>
  <c r="X360" i="15"/>
  <c r="Z360" i="15" s="1"/>
  <c r="AA360" i="15" s="1"/>
  <c r="AB360" i="15"/>
  <c r="AF360" i="15"/>
  <c r="AJ360" i="15"/>
  <c r="AL360" i="15" s="1"/>
  <c r="AM360" i="15" s="1"/>
  <c r="N361" i="15"/>
  <c r="O361" i="15" s="1"/>
  <c r="P361" i="15"/>
  <c r="Q361" i="15" s="1"/>
  <c r="T361" i="15"/>
  <c r="X361" i="15"/>
  <c r="Z361" i="15"/>
  <c r="AA361" i="15" s="1"/>
  <c r="AB361" i="15"/>
  <c r="AF361" i="15"/>
  <c r="AH361" i="15"/>
  <c r="AI361" i="15" s="1"/>
  <c r="AJ361" i="15"/>
  <c r="N362" i="15"/>
  <c r="O362" i="15" s="1"/>
  <c r="P362" i="15"/>
  <c r="T362" i="15"/>
  <c r="V362" i="15" s="1"/>
  <c r="W362" i="15" s="1"/>
  <c r="X362" i="15"/>
  <c r="Y362" i="15"/>
  <c r="AB362" i="15"/>
  <c r="AD362" i="15" s="1"/>
  <c r="AE362" i="15" s="1"/>
  <c r="AF362" i="15"/>
  <c r="AJ362" i="15"/>
  <c r="AL362" i="15" s="1"/>
  <c r="AM362" i="15"/>
  <c r="N363" i="15"/>
  <c r="O363" i="15" s="1"/>
  <c r="P363" i="15"/>
  <c r="Q363" i="15"/>
  <c r="T363" i="15"/>
  <c r="X363" i="15"/>
  <c r="Y363" i="15"/>
  <c r="AB363" i="15"/>
  <c r="AD363" i="15" s="1"/>
  <c r="AE363" i="15"/>
  <c r="AF363" i="15"/>
  <c r="AH363" i="15" s="1"/>
  <c r="AI363" i="15" s="1"/>
  <c r="AJ363" i="15"/>
  <c r="N364" i="15"/>
  <c r="O364" i="15" s="1"/>
  <c r="P364" i="15"/>
  <c r="R364" i="15"/>
  <c r="S364" i="15"/>
  <c r="T364" i="15"/>
  <c r="V364" i="15" s="1"/>
  <c r="W364" i="15"/>
  <c r="X364" i="15"/>
  <c r="AB364" i="15"/>
  <c r="AD364" i="15" s="1"/>
  <c r="AE364" i="15"/>
  <c r="AF364" i="15"/>
  <c r="AH364" i="15" s="1"/>
  <c r="AI364" i="15" s="1"/>
  <c r="AJ364" i="15"/>
  <c r="AL364" i="15"/>
  <c r="AM364" i="15" s="1"/>
  <c r="N372" i="15"/>
  <c r="O372" i="15" s="1"/>
  <c r="N373" i="15"/>
  <c r="O373" i="15" s="1"/>
  <c r="N376" i="15"/>
  <c r="O376" i="15" s="1"/>
  <c r="N377" i="15"/>
  <c r="O377" i="15" s="1"/>
  <c r="N378" i="15"/>
  <c r="O378" i="15" s="1"/>
  <c r="N379" i="15"/>
  <c r="P379" i="15"/>
  <c r="Q379" i="15" s="1"/>
  <c r="T379" i="15"/>
  <c r="U379" i="15" s="1"/>
  <c r="X379" i="15"/>
  <c r="AB379" i="15"/>
  <c r="AC379" i="15" s="1"/>
  <c r="AF379" i="15"/>
  <c r="AJ379" i="15"/>
  <c r="AK379" i="15"/>
  <c r="N380" i="15"/>
  <c r="O380" i="15" s="1"/>
  <c r="P380" i="15"/>
  <c r="R380" i="15"/>
  <c r="S380" i="15" s="1"/>
  <c r="T380" i="15"/>
  <c r="U380" i="15" s="1"/>
  <c r="X380" i="15"/>
  <c r="AB380" i="15"/>
  <c r="AF380" i="15"/>
  <c r="AJ380" i="15"/>
  <c r="N381" i="15"/>
  <c r="O381" i="15"/>
  <c r="P381" i="15"/>
  <c r="Q381" i="15" s="1"/>
  <c r="T381" i="15"/>
  <c r="V381" i="15" s="1"/>
  <c r="W381" i="15" s="1"/>
  <c r="X381" i="15"/>
  <c r="AB381" i="15"/>
  <c r="AD381" i="15" s="1"/>
  <c r="AE381" i="15"/>
  <c r="AF381" i="15"/>
  <c r="AJ381" i="15"/>
  <c r="AK381" i="15" s="1"/>
  <c r="N382" i="15"/>
  <c r="O382" i="15"/>
  <c r="P382" i="15"/>
  <c r="Q382" i="15" s="1"/>
  <c r="T382" i="15"/>
  <c r="U382" i="15"/>
  <c r="X382" i="15"/>
  <c r="Z382" i="15" s="1"/>
  <c r="AA382" i="15" s="1"/>
  <c r="AB382" i="15"/>
  <c r="AF382" i="15"/>
  <c r="AH382" i="15" s="1"/>
  <c r="AI382" i="15" s="1"/>
  <c r="AJ382" i="15"/>
  <c r="N383" i="15"/>
  <c r="O383" i="15" s="1"/>
  <c r="P383" i="15"/>
  <c r="T383" i="15"/>
  <c r="V383" i="15"/>
  <c r="W383" i="15"/>
  <c r="X383" i="15"/>
  <c r="AB383" i="15"/>
  <c r="AD383" i="15"/>
  <c r="AE383" i="15"/>
  <c r="AF383" i="15"/>
  <c r="AG383" i="15" s="1"/>
  <c r="AJ383" i="15"/>
  <c r="AL383" i="15"/>
  <c r="AM383" i="15" s="1"/>
  <c r="N384" i="15"/>
  <c r="O384" i="15"/>
  <c r="P384" i="15"/>
  <c r="Q384" i="15" s="1"/>
  <c r="T384" i="15"/>
  <c r="U384" i="15"/>
  <c r="X384" i="15"/>
  <c r="AB384" i="15"/>
  <c r="AF384" i="15"/>
  <c r="AH384" i="15" s="1"/>
  <c r="AI384" i="15" s="1"/>
  <c r="AJ384" i="15"/>
  <c r="N385" i="15"/>
  <c r="O385" i="15" s="1"/>
  <c r="P385" i="15"/>
  <c r="Q385" i="15"/>
  <c r="T385" i="15"/>
  <c r="V385" i="15" s="1"/>
  <c r="W385" i="15" s="1"/>
  <c r="X385" i="15"/>
  <c r="Y385" i="15" s="1"/>
  <c r="AB385" i="15"/>
  <c r="AC385" i="15"/>
  <c r="AF385" i="15"/>
  <c r="AJ385" i="15"/>
  <c r="AL385" i="15" s="1"/>
  <c r="AM385" i="15"/>
  <c r="N386" i="15"/>
  <c r="O386" i="15" s="1"/>
  <c r="P386" i="15"/>
  <c r="T386" i="15"/>
  <c r="X386" i="15"/>
  <c r="Y386" i="15" s="1"/>
  <c r="AB386" i="15"/>
  <c r="AF386" i="15"/>
  <c r="AG386" i="15"/>
  <c r="AJ386" i="15"/>
  <c r="N387" i="15"/>
  <c r="O387" i="15"/>
  <c r="P387" i="15"/>
  <c r="R387" i="15" s="1"/>
  <c r="S387" i="15" s="1"/>
  <c r="T387" i="15"/>
  <c r="V387" i="15" s="1"/>
  <c r="W387" i="15" s="1"/>
  <c r="U387" i="15"/>
  <c r="X387" i="15"/>
  <c r="Y387" i="15" s="1"/>
  <c r="Z387" i="15"/>
  <c r="AA387" i="15"/>
  <c r="AB387" i="15"/>
  <c r="AD387" i="15" s="1"/>
  <c r="AE387" i="15" s="1"/>
  <c r="AF387" i="15"/>
  <c r="AH387" i="15" s="1"/>
  <c r="AI387" i="15" s="1"/>
  <c r="AJ387" i="15"/>
  <c r="N388" i="15"/>
  <c r="O388" i="15" s="1"/>
  <c r="P388" i="15"/>
  <c r="T388" i="15"/>
  <c r="U388" i="15"/>
  <c r="X388" i="15"/>
  <c r="Z388" i="15" s="1"/>
  <c r="AA388" i="15" s="1"/>
  <c r="AB388" i="15"/>
  <c r="AD388" i="15" s="1"/>
  <c r="AE388" i="15" s="1"/>
  <c r="AF388" i="15"/>
  <c r="AG388" i="15" s="1"/>
  <c r="AJ388" i="15"/>
  <c r="AL388" i="15" s="1"/>
  <c r="N389" i="15"/>
  <c r="O389" i="15" s="1"/>
  <c r="P389" i="15"/>
  <c r="R389" i="15"/>
  <c r="S389" i="15" s="1"/>
  <c r="T389" i="15"/>
  <c r="X389" i="15"/>
  <c r="Y389" i="15"/>
  <c r="AB389" i="15"/>
  <c r="AD389" i="15" s="1"/>
  <c r="AE389" i="15"/>
  <c r="AF389" i="15"/>
  <c r="AJ389" i="15"/>
  <c r="AK389" i="15" s="1"/>
  <c r="N390" i="15"/>
  <c r="O390" i="15"/>
  <c r="P390" i="15"/>
  <c r="Q390" i="15" s="1"/>
  <c r="T390" i="15"/>
  <c r="V390" i="15" s="1"/>
  <c r="U390" i="15"/>
  <c r="X390" i="15"/>
  <c r="AB390" i="15"/>
  <c r="AC390" i="15"/>
  <c r="AF390" i="15"/>
  <c r="AG390" i="15" s="1"/>
  <c r="AJ390" i="15"/>
  <c r="AK390" i="15"/>
  <c r="N391" i="15"/>
  <c r="O391" i="15" s="1"/>
  <c r="P391" i="15"/>
  <c r="R391" i="15"/>
  <c r="S391" i="15" s="1"/>
  <c r="T391" i="15"/>
  <c r="V391" i="15" s="1"/>
  <c r="W391" i="15"/>
  <c r="X391" i="15"/>
  <c r="Z391" i="15" s="1"/>
  <c r="AA391" i="15" s="1"/>
  <c r="AB391" i="15"/>
  <c r="AD391" i="15"/>
  <c r="AE391" i="15" s="1"/>
  <c r="AF391" i="15"/>
  <c r="AG391" i="15"/>
  <c r="AJ391" i="15"/>
  <c r="AK391" i="15" s="1"/>
  <c r="N399" i="15"/>
  <c r="O399" i="15"/>
  <c r="P399" i="15"/>
  <c r="Q399" i="15" s="1"/>
  <c r="T399" i="15"/>
  <c r="U399" i="15" s="1"/>
  <c r="X399" i="15"/>
  <c r="Y399" i="15"/>
  <c r="AB399" i="15"/>
  <c r="AC399" i="15" s="1"/>
  <c r="AF399" i="15"/>
  <c r="AJ399" i="15"/>
  <c r="N400" i="15"/>
  <c r="O400" i="15" s="1"/>
  <c r="P400" i="15"/>
  <c r="Q400" i="15" s="1"/>
  <c r="T400" i="15"/>
  <c r="U400" i="15"/>
  <c r="X400" i="15"/>
  <c r="Y400" i="15" s="1"/>
  <c r="AB400" i="15"/>
  <c r="AC400" i="15" s="1"/>
  <c r="AF400" i="15"/>
  <c r="AG400" i="15"/>
  <c r="AJ400" i="15"/>
  <c r="AK400" i="15" s="1"/>
  <c r="N401" i="15"/>
  <c r="O401" i="15"/>
  <c r="N402" i="15"/>
  <c r="O402" i="15" s="1"/>
  <c r="P402" i="15"/>
  <c r="Q402" i="15"/>
  <c r="T402" i="15"/>
  <c r="X402" i="15"/>
  <c r="Y402" i="15"/>
  <c r="AB402" i="15"/>
  <c r="AF402" i="15"/>
  <c r="AH402" i="15"/>
  <c r="AI402" i="15" s="1"/>
  <c r="AJ402" i="15"/>
  <c r="AK402" i="15" s="1"/>
  <c r="N403" i="15"/>
  <c r="O403" i="15" s="1"/>
  <c r="P403" i="15"/>
  <c r="R403" i="15"/>
  <c r="S403" i="15"/>
  <c r="T403" i="15"/>
  <c r="X403" i="15"/>
  <c r="Y403" i="15"/>
  <c r="AB403" i="15"/>
  <c r="AF403" i="15"/>
  <c r="AH403" i="15" s="1"/>
  <c r="AI403" i="15"/>
  <c r="AJ403" i="15"/>
  <c r="AK403" i="15" s="1"/>
  <c r="AL403" i="15"/>
  <c r="AM403" i="15" s="1"/>
  <c r="N404" i="15"/>
  <c r="O404" i="15"/>
  <c r="P404" i="15"/>
  <c r="Q404" i="15" s="1"/>
  <c r="T404" i="15"/>
  <c r="U404" i="15"/>
  <c r="X404" i="15"/>
  <c r="Z404" i="15"/>
  <c r="AA404" i="15" s="1"/>
  <c r="AB404" i="15"/>
  <c r="AC404" i="15" s="1"/>
  <c r="AF404" i="15"/>
  <c r="AJ404" i="15"/>
  <c r="AK404" i="15" s="1"/>
  <c r="N405" i="15"/>
  <c r="O405" i="15"/>
  <c r="P405" i="15"/>
  <c r="R405" i="15" s="1"/>
  <c r="S405" i="15"/>
  <c r="T405" i="15"/>
  <c r="V405" i="15"/>
  <c r="W405" i="15" s="1"/>
  <c r="X405" i="15"/>
  <c r="Z405" i="15"/>
  <c r="AA405" i="15"/>
  <c r="AB405" i="15"/>
  <c r="AD405" i="15"/>
  <c r="AE405" i="15"/>
  <c r="AF405" i="15"/>
  <c r="AJ405" i="15"/>
  <c r="AL405" i="15"/>
  <c r="AM405" i="15"/>
  <c r="N406" i="15"/>
  <c r="O406" i="15" s="1"/>
  <c r="P406" i="15"/>
  <c r="T406" i="15"/>
  <c r="X406" i="15"/>
  <c r="Y406" i="15"/>
  <c r="AB406" i="15"/>
  <c r="AC406" i="15"/>
  <c r="AF406" i="15"/>
  <c r="AJ406" i="15"/>
  <c r="N407" i="15"/>
  <c r="O407" i="15"/>
  <c r="P407" i="15"/>
  <c r="Q407" i="15"/>
  <c r="T407" i="15"/>
  <c r="V407" i="15"/>
  <c r="W407" i="15" s="1"/>
  <c r="X407" i="15"/>
  <c r="Z407" i="15" s="1"/>
  <c r="AA407" i="15" s="1"/>
  <c r="Y407" i="15"/>
  <c r="AB407" i="15"/>
  <c r="AD407" i="15" s="1"/>
  <c r="AE407" i="15"/>
  <c r="AF407" i="15"/>
  <c r="AH407" i="15"/>
  <c r="AI407" i="15" s="1"/>
  <c r="AJ407" i="15"/>
  <c r="AL407" i="15"/>
  <c r="AM407" i="15"/>
  <c r="N408" i="15"/>
  <c r="O408" i="15"/>
  <c r="P408" i="15"/>
  <c r="R408" i="15"/>
  <c r="S408" i="15" s="1"/>
  <c r="T408" i="15"/>
  <c r="X408" i="15"/>
  <c r="Y408" i="15" s="1"/>
  <c r="AB408" i="15"/>
  <c r="AD408" i="15"/>
  <c r="AE408" i="15" s="1"/>
  <c r="AF408" i="15"/>
  <c r="AG408" i="15" s="1"/>
  <c r="AJ408" i="15"/>
  <c r="AL408" i="15" s="1"/>
  <c r="AM408" i="15" s="1"/>
  <c r="F40" i="14"/>
  <c r="B2" i="4"/>
  <c r="B144" i="4" s="1"/>
  <c r="L13" i="4"/>
  <c r="F58" i="15" s="1"/>
  <c r="L82" i="4"/>
  <c r="G82" i="4"/>
  <c r="G91" i="4"/>
  <c r="L148" i="4"/>
  <c r="L149" i="4"/>
  <c r="L150" i="4"/>
  <c r="L151" i="4"/>
  <c r="L152" i="4"/>
  <c r="L153" i="4"/>
  <c r="L154" i="4"/>
  <c r="L155" i="4"/>
  <c r="B2" i="3"/>
  <c r="B146" i="3"/>
  <c r="G84" i="3"/>
  <c r="AC387" i="15"/>
  <c r="P373" i="15"/>
  <c r="Q373" i="15" s="1"/>
  <c r="N316" i="15"/>
  <c r="O316" i="15" s="1"/>
  <c r="P372" i="15"/>
  <c r="Q372" i="15"/>
  <c r="N312" i="15"/>
  <c r="O312" i="15" s="1"/>
  <c r="AD303" i="15"/>
  <c r="AE303" i="15" s="1"/>
  <c r="V303" i="15"/>
  <c r="W303" i="15" s="1"/>
  <c r="Z22" i="15"/>
  <c r="AA22" i="15" s="1"/>
  <c r="P316" i="15"/>
  <c r="T316" i="15"/>
  <c r="U316" i="15" s="1"/>
  <c r="T372" i="15"/>
  <c r="P401" i="15"/>
  <c r="P312" i="15"/>
  <c r="Q312" i="15"/>
  <c r="AC345" i="15"/>
  <c r="N375" i="15"/>
  <c r="O375" i="15" s="1"/>
  <c r="P374" i="15"/>
  <c r="Q374" i="15" s="1"/>
  <c r="N374" i="15"/>
  <c r="O374" i="15" s="1"/>
  <c r="V360" i="15"/>
  <c r="W360" i="15" s="1"/>
  <c r="R346" i="15"/>
  <c r="S346" i="15" s="1"/>
  <c r="Q346" i="15"/>
  <c r="N313" i="15"/>
  <c r="O313" i="15"/>
  <c r="P313" i="15"/>
  <c r="N315" i="15"/>
  <c r="O315" i="15"/>
  <c r="N314" i="15"/>
  <c r="O314" i="15" s="1"/>
  <c r="V22" i="15"/>
  <c r="W22" i="15" s="1"/>
  <c r="Q22" i="15"/>
  <c r="T374" i="15"/>
  <c r="P315" i="15"/>
  <c r="P314" i="15"/>
  <c r="Q314" i="15" s="1"/>
  <c r="X316" i="15"/>
  <c r="Y316" i="15" s="1"/>
  <c r="T313" i="15"/>
  <c r="X312" i="15"/>
  <c r="Y312" i="15" s="1"/>
  <c r="T312" i="15"/>
  <c r="U312" i="15"/>
  <c r="T315" i="15"/>
  <c r="V315" i="15" s="1"/>
  <c r="W315" i="15" s="1"/>
  <c r="X314" i="15"/>
  <c r="Y314" i="15"/>
  <c r="T314" i="15"/>
  <c r="AB316" i="15"/>
  <c r="AC316" i="15"/>
  <c r="AB313" i="15"/>
  <c r="AC313" i="15" s="1"/>
  <c r="X313" i="15"/>
  <c r="AB312" i="15"/>
  <c r="AC312" i="15" s="1"/>
  <c r="AJ312" i="15"/>
  <c r="AF312" i="15"/>
  <c r="AF316" i="15"/>
  <c r="AJ316" i="15"/>
  <c r="AK316" i="15"/>
  <c r="X315" i="15"/>
  <c r="Y315" i="15"/>
  <c r="P377" i="15"/>
  <c r="R377" i="15" s="1"/>
  <c r="S377" i="15" s="1"/>
  <c r="T376" i="15"/>
  <c r="U376" i="15" s="1"/>
  <c r="P376" i="15"/>
  <c r="AK360" i="15"/>
  <c r="Y346" i="15"/>
  <c r="P378" i="15"/>
  <c r="Q378" i="15" s="1"/>
  <c r="AJ313" i="15"/>
  <c r="AF313" i="15"/>
  <c r="AB315" i="15"/>
  <c r="AC315" i="15"/>
  <c r="AB314" i="15"/>
  <c r="AC314" i="15" s="1"/>
  <c r="X376" i="15"/>
  <c r="AJ314" i="15"/>
  <c r="AF314" i="15"/>
  <c r="AF315" i="15"/>
  <c r="AJ315" i="15"/>
  <c r="T378" i="15"/>
  <c r="X378" i="15"/>
  <c r="Y378" i="15" s="1"/>
  <c r="AB378" i="15"/>
  <c r="AJ378" i="15"/>
  <c r="AK378" i="15" s="1"/>
  <c r="AF378" i="15"/>
  <c r="AG378" i="15" s="1"/>
  <c r="O97" i="21"/>
  <c r="O96" i="21"/>
  <c r="N116" i="21"/>
  <c r="O105" i="21"/>
  <c r="J79" i="21"/>
  <c r="G79" i="21"/>
  <c r="G68" i="21"/>
  <c r="G80" i="21" s="1"/>
  <c r="L79" i="21"/>
  <c r="H79" i="21"/>
  <c r="O116" i="21"/>
  <c r="E111" i="21"/>
  <c r="I195" i="20"/>
  <c r="K35" i="21"/>
  <c r="M68" i="21"/>
  <c r="E68" i="21"/>
  <c r="L68" i="21"/>
  <c r="L80" i="21" s="1"/>
  <c r="H68" i="21"/>
  <c r="P375" i="15"/>
  <c r="AB376" i="15"/>
  <c r="AC376" i="15" s="1"/>
  <c r="T377" i="15"/>
  <c r="V377" i="15" s="1"/>
  <c r="W377" i="15" s="1"/>
  <c r="T401" i="15"/>
  <c r="V401" i="15"/>
  <c r="W401" i="15"/>
  <c r="X372" i="15"/>
  <c r="T373" i="15"/>
  <c r="U373" i="15" s="1"/>
  <c r="X374" i="15"/>
  <c r="T375" i="15"/>
  <c r="U375" i="15" s="1"/>
  <c r="AJ376" i="15"/>
  <c r="AK376" i="15" s="1"/>
  <c r="AF376" i="15"/>
  <c r="AG376" i="15"/>
  <c r="X377" i="15"/>
  <c r="Y377" i="15" s="1"/>
  <c r="X401" i="15"/>
  <c r="Z401" i="15"/>
  <c r="AA401" i="15"/>
  <c r="AB372" i="15"/>
  <c r="AC372" i="15" s="1"/>
  <c r="X373" i="15"/>
  <c r="AB374" i="15"/>
  <c r="AC374" i="15" s="1"/>
  <c r="X375" i="15"/>
  <c r="AB377" i="15"/>
  <c r="AB401" i="15"/>
  <c r="AD401" i="15" s="1"/>
  <c r="AE401" i="15" s="1"/>
  <c r="AF372" i="15"/>
  <c r="AG372" i="15" s="1"/>
  <c r="AJ372" i="15"/>
  <c r="AK372" i="15" s="1"/>
  <c r="AB373" i="15"/>
  <c r="AC373" i="15" s="1"/>
  <c r="AJ374" i="15"/>
  <c r="AK374" i="15" s="1"/>
  <c r="AF374" i="15"/>
  <c r="AG374" i="15" s="1"/>
  <c r="AB375" i="15"/>
  <c r="AJ377" i="15"/>
  <c r="AF377" i="15"/>
  <c r="AF401" i="15"/>
  <c r="AJ401" i="15"/>
  <c r="AK401" i="15" s="1"/>
  <c r="AF373" i="15"/>
  <c r="AG373" i="15"/>
  <c r="AJ373" i="15"/>
  <c r="AJ375" i="15"/>
  <c r="AF375" i="15"/>
  <c r="AG375" i="15" s="1"/>
  <c r="P95" i="20"/>
  <c r="Q90" i="20"/>
  <c r="AG303" i="15"/>
  <c r="AK399" i="15"/>
  <c r="AG345" i="15"/>
  <c r="AK313" i="15"/>
  <c r="U345" i="15"/>
  <c r="AG22" i="15"/>
  <c r="Y360" i="15"/>
  <c r="AG177" i="15"/>
  <c r="AC177" i="15"/>
  <c r="AL177" i="15"/>
  <c r="AM177" i="15"/>
  <c r="Z177" i="15"/>
  <c r="AA177" i="15"/>
  <c r="W390" i="15"/>
  <c r="V323" i="15"/>
  <c r="W323" i="15"/>
  <c r="R303" i="15"/>
  <c r="S303" i="15"/>
  <c r="U177" i="15"/>
  <c r="AL319" i="15"/>
  <c r="AM319" i="15" s="1"/>
  <c r="AC325" i="15"/>
  <c r="Q337" i="15"/>
  <c r="U385" i="15"/>
  <c r="Z333" i="15"/>
  <c r="AA333" i="15"/>
  <c r="AK326" i="15"/>
  <c r="Y405" i="15"/>
  <c r="Q241" i="15"/>
  <c r="Q227" i="15"/>
  <c r="AK373" i="15"/>
  <c r="Q387" i="15"/>
  <c r="U372" i="15"/>
  <c r="V372" i="15"/>
  <c r="W372" i="15" s="1"/>
  <c r="Z315" i="15"/>
  <c r="AA315" i="15"/>
  <c r="Q364" i="15"/>
  <c r="R360" i="15"/>
  <c r="S360" i="15" s="1"/>
  <c r="Z303" i="15"/>
  <c r="AA303" i="15" s="1"/>
  <c r="D232" i="15"/>
  <c r="D589" i="15"/>
  <c r="D225" i="15"/>
  <c r="D582" i="15" s="1"/>
  <c r="D229" i="15"/>
  <c r="D586" i="15"/>
  <c r="AK241" i="15"/>
  <c r="L156" i="4"/>
  <c r="AL22" i="15"/>
  <c r="AM22" i="15"/>
  <c r="D216" i="15"/>
  <c r="D573" i="15" s="1"/>
  <c r="U124" i="15"/>
  <c r="Q168" i="15"/>
  <c r="R372" i="15"/>
  <c r="S372" i="15" s="1"/>
  <c r="AG399" i="15"/>
  <c r="Y119" i="15"/>
  <c r="D210" i="15"/>
  <c r="D567" i="15" s="1"/>
  <c r="B88" i="3"/>
  <c r="AD355" i="15"/>
  <c r="AE355" i="15" s="1"/>
  <c r="AC362" i="15"/>
  <c r="AH332" i="15"/>
  <c r="AI332" i="15" s="1"/>
  <c r="Z359" i="15"/>
  <c r="AA359" i="15"/>
  <c r="AL324" i="15"/>
  <c r="AM324" i="15" s="1"/>
  <c r="AG382" i="15"/>
  <c r="Q255" i="15"/>
  <c r="Y347" i="15"/>
  <c r="AC363" i="15"/>
  <c r="V336" i="15"/>
  <c r="W336" i="15"/>
  <c r="AC407" i="15"/>
  <c r="AD332" i="15"/>
  <c r="AE332" i="15"/>
  <c r="AH408" i="15"/>
  <c r="AI408" i="15" s="1"/>
  <c r="Z402" i="15"/>
  <c r="AA402" i="15"/>
  <c r="Q356" i="15"/>
  <c r="Q408" i="15"/>
  <c r="AD390" i="15"/>
  <c r="AE390" i="15"/>
  <c r="AH391" i="15"/>
  <c r="AI391" i="15" s="1"/>
  <c r="AH335" i="15"/>
  <c r="AI335" i="15"/>
  <c r="D223" i="15"/>
  <c r="D580" i="15" s="1"/>
  <c r="Z351" i="15"/>
  <c r="AA351" i="15" s="1"/>
  <c r="Y355" i="15"/>
  <c r="AK358" i="15"/>
  <c r="V337" i="15"/>
  <c r="W337" i="15" s="1"/>
  <c r="R363" i="15"/>
  <c r="S363" i="15" s="1"/>
  <c r="AL333" i="15"/>
  <c r="AM333" i="15"/>
  <c r="R336" i="15"/>
  <c r="S336" i="15"/>
  <c r="R324" i="15"/>
  <c r="S324" i="15"/>
  <c r="U391" i="15"/>
  <c r="R382" i="15"/>
  <c r="S382" i="15"/>
  <c r="U333" i="15"/>
  <c r="U329" i="15"/>
  <c r="AK383" i="15"/>
  <c r="AH324" i="15"/>
  <c r="AI324" i="15"/>
  <c r="Q349" i="15"/>
  <c r="AG380" i="15"/>
  <c r="AH318" i="15"/>
  <c r="AI318" i="15"/>
  <c r="Z403" i="15"/>
  <c r="AA403" i="15" s="1"/>
  <c r="AG353" i="15"/>
  <c r="AL354" i="15"/>
  <c r="AM354" i="15"/>
  <c r="AK364" i="15"/>
  <c r="AC317" i="15"/>
  <c r="V327" i="15"/>
  <c r="W327" i="15" s="1"/>
  <c r="Z328" i="15"/>
  <c r="AA328" i="15"/>
  <c r="AD356" i="15"/>
  <c r="AE356" i="15" s="1"/>
  <c r="AK325" i="15"/>
  <c r="AG361" i="15"/>
  <c r="AH359" i="15"/>
  <c r="AI359" i="15" s="1"/>
  <c r="AC364" i="15"/>
  <c r="AH355" i="15"/>
  <c r="AI355" i="15" s="1"/>
  <c r="AK362" i="15"/>
  <c r="AK323" i="15"/>
  <c r="Q322" i="15"/>
  <c r="Y382" i="15"/>
  <c r="Y336" i="15"/>
  <c r="Z363" i="15"/>
  <c r="AA363" i="15"/>
  <c r="AH326" i="15"/>
  <c r="AI326" i="15" s="1"/>
  <c r="Y324" i="15"/>
  <c r="Y332" i="15"/>
  <c r="AL391" i="15"/>
  <c r="AM391" i="15"/>
  <c r="R407" i="15"/>
  <c r="S407" i="15" s="1"/>
  <c r="Q380" i="15"/>
  <c r="Z320" i="15"/>
  <c r="AA320" i="15"/>
  <c r="U362" i="15"/>
  <c r="U319" i="15"/>
  <c r="AK335" i="15"/>
  <c r="AG407" i="15"/>
  <c r="Q359" i="15"/>
  <c r="V331" i="15"/>
  <c r="W331" i="15" s="1"/>
  <c r="Z386" i="15"/>
  <c r="AA386" i="15" s="1"/>
  <c r="AG384" i="15"/>
  <c r="AK385" i="15"/>
  <c r="AH330" i="15"/>
  <c r="AI330" i="15" s="1"/>
  <c r="AC383" i="15"/>
  <c r="Q318" i="15"/>
  <c r="R330" i="15"/>
  <c r="S330" i="15" s="1"/>
  <c r="AK327" i="15"/>
  <c r="AL381" i="15"/>
  <c r="AM381" i="15"/>
  <c r="U381" i="15"/>
  <c r="AC321" i="15"/>
  <c r="AH322" i="15"/>
  <c r="AI322" i="15"/>
  <c r="AC389" i="15"/>
  <c r="Z356" i="15"/>
  <c r="AA356" i="15"/>
  <c r="R333" i="15"/>
  <c r="S333" i="15" s="1"/>
  <c r="V334" i="15"/>
  <c r="W334" i="15"/>
  <c r="Y401" i="15"/>
  <c r="AD328" i="15"/>
  <c r="AE328" i="15"/>
  <c r="Z331" i="15"/>
  <c r="AA331" i="15"/>
  <c r="AC375" i="15"/>
  <c r="AH331" i="15"/>
  <c r="AI331" i="15" s="1"/>
  <c r="Q391" i="15"/>
  <c r="R404" i="15"/>
  <c r="S404" i="15" s="1"/>
  <c r="AM388" i="15"/>
  <c r="AK388" i="15"/>
  <c r="U386" i="15"/>
  <c r="V386" i="15"/>
  <c r="W386" i="15"/>
  <c r="Y358" i="15"/>
  <c r="Z358" i="15"/>
  <c r="AA358" i="15"/>
  <c r="AK353" i="15"/>
  <c r="V353" i="15"/>
  <c r="U353" i="15"/>
  <c r="R352" i="15"/>
  <c r="S352" i="15" s="1"/>
  <c r="AK349" i="15"/>
  <c r="AG348" i="15"/>
  <c r="AL336" i="15"/>
  <c r="AM336" i="15"/>
  <c r="AK336" i="15"/>
  <c r="AC334" i="15"/>
  <c r="AD334" i="15"/>
  <c r="AE334" i="15"/>
  <c r="Y329" i="15"/>
  <c r="Z329" i="15"/>
  <c r="AA329" i="15" s="1"/>
  <c r="AG323" i="15"/>
  <c r="AH323" i="15"/>
  <c r="AI323" i="15"/>
  <c r="AK320" i="15"/>
  <c r="AL320" i="15"/>
  <c r="AM320" i="15"/>
  <c r="AG319" i="15"/>
  <c r="AH319" i="15"/>
  <c r="AI319" i="15"/>
  <c r="R246" i="15"/>
  <c r="S246" i="15"/>
  <c r="Q246" i="15"/>
  <c r="U246" i="15"/>
  <c r="V246" i="15"/>
  <c r="W246" i="15"/>
  <c r="AK246" i="15"/>
  <c r="AG404" i="15"/>
  <c r="AH404" i="15"/>
  <c r="AI404" i="15"/>
  <c r="AK386" i="15"/>
  <c r="AL386" i="15"/>
  <c r="AM386" i="15"/>
  <c r="AH385" i="15"/>
  <c r="AI385" i="15" s="1"/>
  <c r="AG385" i="15"/>
  <c r="R381" i="15"/>
  <c r="S381" i="15"/>
  <c r="AK357" i="15"/>
  <c r="AL357" i="15"/>
  <c r="AM357" i="15" s="1"/>
  <c r="V357" i="15"/>
  <c r="W357" i="15" s="1"/>
  <c r="U357" i="15"/>
  <c r="AH356" i="15"/>
  <c r="AI356" i="15"/>
  <c r="AG356" i="15"/>
  <c r="Z354" i="15"/>
  <c r="AA354" i="15" s="1"/>
  <c r="Y354" i="15"/>
  <c r="AG352" i="15"/>
  <c r="AC351" i="15"/>
  <c r="R348" i="15"/>
  <c r="S348" i="15" s="1"/>
  <c r="Q348" i="15"/>
  <c r="Z337" i="15"/>
  <c r="AA337" i="15" s="1"/>
  <c r="Y337" i="15"/>
  <c r="R335" i="15"/>
  <c r="S335" i="15"/>
  <c r="Q335" i="15"/>
  <c r="AK332" i="15"/>
  <c r="AL332" i="15"/>
  <c r="AM332" i="15"/>
  <c r="V332" i="15"/>
  <c r="W332" i="15"/>
  <c r="U332" i="15"/>
  <c r="R331" i="15"/>
  <c r="S331" i="15" s="1"/>
  <c r="Q331" i="15"/>
  <c r="AC326" i="15"/>
  <c r="AD326" i="15"/>
  <c r="AE326" i="15" s="1"/>
  <c r="Z325" i="15"/>
  <c r="AA325" i="15"/>
  <c r="Y325" i="15"/>
  <c r="AD322" i="15"/>
  <c r="AE322" i="15" s="1"/>
  <c r="AC322" i="15"/>
  <c r="Q319" i="15"/>
  <c r="R319" i="15"/>
  <c r="S319" i="15" s="1"/>
  <c r="AC246" i="15"/>
  <c r="Z406" i="15"/>
  <c r="AA406" i="15"/>
  <c r="V324" i="15"/>
  <c r="W324" i="15"/>
  <c r="Z389" i="15"/>
  <c r="AA389" i="15"/>
  <c r="AG377" i="15"/>
  <c r="AC401" i="15"/>
  <c r="R376" i="15"/>
  <c r="S376" i="15" s="1"/>
  <c r="Q376" i="15"/>
  <c r="Z408" i="15"/>
  <c r="AA408" i="15"/>
  <c r="AH406" i="15"/>
  <c r="AI406" i="15" s="1"/>
  <c r="AG406" i="15"/>
  <c r="V403" i="15"/>
  <c r="W403" i="15"/>
  <c r="U403" i="15"/>
  <c r="AG389" i="15"/>
  <c r="AH389" i="15"/>
  <c r="AI389" i="15"/>
  <c r="AC386" i="15"/>
  <c r="AD386" i="15"/>
  <c r="AE386" i="15"/>
  <c r="AC382" i="15"/>
  <c r="AD382" i="15"/>
  <c r="AE382" i="15"/>
  <c r="Y381" i="15"/>
  <c r="Z381" i="15"/>
  <c r="AA381" i="15" s="1"/>
  <c r="AG379" i="15"/>
  <c r="AK361" i="15"/>
  <c r="AL361" i="15"/>
  <c r="AM361" i="15" s="1"/>
  <c r="V361" i="15"/>
  <c r="W361" i="15" s="1"/>
  <c r="U361" i="15"/>
  <c r="AH358" i="15"/>
  <c r="AI358" i="15" s="1"/>
  <c r="AG358" i="15"/>
  <c r="R358" i="15"/>
  <c r="S358" i="15"/>
  <c r="AC357" i="15"/>
  <c r="AD357" i="15"/>
  <c r="AE357" i="15"/>
  <c r="AL355" i="15"/>
  <c r="AM355" i="15" s="1"/>
  <c r="AK355" i="15"/>
  <c r="U355" i="15"/>
  <c r="V355" i="15"/>
  <c r="W355" i="15" s="1"/>
  <c r="AH354" i="15"/>
  <c r="AI354" i="15" s="1"/>
  <c r="AG354" i="15"/>
  <c r="Y352" i="15"/>
  <c r="AC349" i="15"/>
  <c r="AK347" i="15"/>
  <c r="AG337" i="15"/>
  <c r="AH337" i="15"/>
  <c r="AI337" i="15" s="1"/>
  <c r="Z335" i="15"/>
  <c r="AA335" i="15"/>
  <c r="Y335" i="15"/>
  <c r="AK330" i="15"/>
  <c r="AL330" i="15"/>
  <c r="AM330" i="15"/>
  <c r="U330" i="15"/>
  <c r="Y327" i="15"/>
  <c r="Z327" i="15"/>
  <c r="AA327" i="15"/>
  <c r="AH321" i="15"/>
  <c r="AI321" i="15" s="1"/>
  <c r="AG321" i="15"/>
  <c r="R321" i="15"/>
  <c r="S321" i="15" s="1"/>
  <c r="Q321" i="15"/>
  <c r="AC320" i="15"/>
  <c r="AD320" i="15"/>
  <c r="AE320" i="15" s="1"/>
  <c r="R317" i="15"/>
  <c r="S317" i="15"/>
  <c r="Q317" i="15"/>
  <c r="R223" i="15"/>
  <c r="S223" i="15" s="1"/>
  <c r="Q223" i="15"/>
  <c r="V255" i="15"/>
  <c r="W255" i="15"/>
  <c r="U223" i="15"/>
  <c r="AC223" i="15"/>
  <c r="AG227" i="15"/>
  <c r="R402" i="15"/>
  <c r="S402" i="15" s="1"/>
  <c r="U318" i="15"/>
  <c r="Q354" i="15"/>
  <c r="Q389" i="15"/>
  <c r="AL390" i="15"/>
  <c r="AM390" i="15"/>
  <c r="Y391" i="15"/>
  <c r="AH329" i="15"/>
  <c r="AI329" i="15"/>
  <c r="V322" i="15"/>
  <c r="W322" i="15"/>
  <c r="V326" i="15"/>
  <c r="W326" i="15"/>
  <c r="AG350" i="15"/>
  <c r="Q329" i="15"/>
  <c r="V384" i="15"/>
  <c r="W384" i="15"/>
  <c r="U347" i="15"/>
  <c r="AG364" i="15"/>
  <c r="U359" i="15"/>
  <c r="AK351" i="15"/>
  <c r="AK334" i="15"/>
  <c r="Y319" i="15"/>
  <c r="AK315" i="15"/>
  <c r="AL315" i="15"/>
  <c r="AM315" i="15" s="1"/>
  <c r="V317" i="15"/>
  <c r="W317" i="15"/>
  <c r="Y334" i="15"/>
  <c r="AG336" i="15"/>
  <c r="AD316" i="15"/>
  <c r="AE316" i="15"/>
  <c r="AD335" i="15"/>
  <c r="AE335" i="15"/>
  <c r="U383" i="15"/>
  <c r="AC381" i="15"/>
  <c r="AG363" i="15"/>
  <c r="Z318" i="15"/>
  <c r="AA318" i="15"/>
  <c r="U354" i="15"/>
  <c r="Z326" i="15"/>
  <c r="AA326" i="15" s="1"/>
  <c r="Y330" i="15"/>
  <c r="R177" i="15"/>
  <c r="S177" i="15"/>
  <c r="AL317" i="15"/>
  <c r="AM317" i="15"/>
  <c r="R320" i="15"/>
  <c r="S320" i="15" s="1"/>
  <c r="U364" i="15"/>
  <c r="AD385" i="15"/>
  <c r="AE385" i="15"/>
  <c r="Y380" i="15"/>
  <c r="AG328" i="15"/>
  <c r="AG320" i="15"/>
  <c r="U321" i="15"/>
  <c r="AC327" i="15"/>
  <c r="AK350" i="15"/>
  <c r="AD406" i="15"/>
  <c r="AE406" i="15"/>
  <c r="AG403" i="15"/>
  <c r="V356" i="15"/>
  <c r="W356" i="15"/>
  <c r="Q334" i="15"/>
  <c r="AL389" i="15"/>
  <c r="AM389" i="15" s="1"/>
  <c r="Q326" i="15"/>
  <c r="R326" i="15"/>
  <c r="S326" i="15" s="1"/>
  <c r="AC384" i="15"/>
  <c r="AD384" i="15"/>
  <c r="AE384" i="15"/>
  <c r="Y383" i="15"/>
  <c r="Z383" i="15"/>
  <c r="AA383" i="15" s="1"/>
  <c r="AL382" i="15"/>
  <c r="AM382" i="15"/>
  <c r="AK382" i="15"/>
  <c r="AH381" i="15"/>
  <c r="AI381" i="15"/>
  <c r="AG381" i="15"/>
  <c r="AC380" i="15"/>
  <c r="Y364" i="15"/>
  <c r="Z364" i="15"/>
  <c r="AA364" i="15"/>
  <c r="AL363" i="15"/>
  <c r="AM363" i="15"/>
  <c r="AK363" i="15"/>
  <c r="AH362" i="15"/>
  <c r="AI362" i="15" s="1"/>
  <c r="AG362" i="15"/>
  <c r="AD359" i="15"/>
  <c r="AE359" i="15" s="1"/>
  <c r="AC359" i="15"/>
  <c r="AC358" i="15"/>
  <c r="AD358" i="15"/>
  <c r="AE358" i="15" s="1"/>
  <c r="Y357" i="15"/>
  <c r="Z357" i="15"/>
  <c r="AA357" i="15" s="1"/>
  <c r="R355" i="15"/>
  <c r="S355" i="15" s="1"/>
  <c r="AD354" i="15"/>
  <c r="AE354" i="15" s="1"/>
  <c r="AC354" i="15"/>
  <c r="Y353" i="15"/>
  <c r="AK352" i="15"/>
  <c r="U352" i="15"/>
  <c r="V352" i="15"/>
  <c r="Z352" i="15" s="1"/>
  <c r="AG351" i="15"/>
  <c r="Y349" i="15"/>
  <c r="AK348" i="15"/>
  <c r="V348" i="15"/>
  <c r="W348" i="15" s="1"/>
  <c r="U348" i="15"/>
  <c r="AG347" i="15"/>
  <c r="R347" i="15"/>
  <c r="S347" i="15" s="1"/>
  <c r="Q347" i="15"/>
  <c r="AC337" i="15"/>
  <c r="AD337" i="15"/>
  <c r="AE337" i="15"/>
  <c r="U335" i="15"/>
  <c r="V335" i="15"/>
  <c r="W335" i="15"/>
  <c r="AH334" i="15"/>
  <c r="AI334" i="15"/>
  <c r="AC333" i="15"/>
  <c r="AD333" i="15"/>
  <c r="AE333" i="15"/>
  <c r="AC331" i="15"/>
  <c r="AD331" i="15"/>
  <c r="AE331" i="15"/>
  <c r="AL329" i="15"/>
  <c r="AM329" i="15"/>
  <c r="AL328" i="15"/>
  <c r="AM328" i="15"/>
  <c r="AK328" i="15"/>
  <c r="V328" i="15"/>
  <c r="W328" i="15"/>
  <c r="U328" i="15"/>
  <c r="AH327" i="15"/>
  <c r="AI327" i="15" s="1"/>
  <c r="AG327" i="15"/>
  <c r="Q327" i="15"/>
  <c r="R327" i="15"/>
  <c r="S327" i="15" s="1"/>
  <c r="Z321" i="15"/>
  <c r="AA321" i="15"/>
  <c r="Y321" i="15"/>
  <c r="AD318" i="15"/>
  <c r="AE318" i="15" s="1"/>
  <c r="AC318" i="15"/>
  <c r="Z317" i="15"/>
  <c r="AA317" i="15"/>
  <c r="Y317" i="15"/>
  <c r="V406" i="15"/>
  <c r="W406" i="15"/>
  <c r="U406" i="15"/>
  <c r="AD404" i="15"/>
  <c r="AE404" i="15" s="1"/>
  <c r="AL402" i="15"/>
  <c r="AM402" i="15" s="1"/>
  <c r="Z390" i="15"/>
  <c r="AA390" i="15"/>
  <c r="Y390" i="15"/>
  <c r="U389" i="15"/>
  <c r="V389" i="15"/>
  <c r="W389" i="15"/>
  <c r="AH388" i="15"/>
  <c r="AI388" i="15" s="1"/>
  <c r="Q388" i="15"/>
  <c r="R388" i="15"/>
  <c r="S388" i="15"/>
  <c r="Q386" i="15"/>
  <c r="R386" i="15"/>
  <c r="S386" i="15"/>
  <c r="AK321" i="15"/>
  <c r="AL321" i="15"/>
  <c r="AM321" i="15"/>
  <c r="D219" i="15"/>
  <c r="D576" i="15"/>
  <c r="V382" i="15"/>
  <c r="W382" i="15"/>
  <c r="AK356" i="15"/>
  <c r="AG315" i="15"/>
  <c r="AH315" i="15"/>
  <c r="AI315" i="15"/>
  <c r="U374" i="15"/>
  <c r="AG325" i="15"/>
  <c r="AH325" i="15"/>
  <c r="AI325" i="15"/>
  <c r="R325" i="15"/>
  <c r="S325" i="15" s="1"/>
  <c r="Q325" i="15"/>
  <c r="Z323" i="15"/>
  <c r="AA323" i="15"/>
  <c r="Y323" i="15"/>
  <c r="AK322" i="15"/>
  <c r="AL322" i="15"/>
  <c r="AM322" i="15"/>
  <c r="Y124" i="15"/>
  <c r="AK405" i="15"/>
  <c r="U315" i="15"/>
  <c r="U405" i="15"/>
  <c r="Q403" i="15"/>
  <c r="AL404" i="15"/>
  <c r="AM404" i="15"/>
  <c r="AH390" i="15"/>
  <c r="AI390" i="15" s="1"/>
  <c r="Y404" i="15"/>
  <c r="V388" i="15"/>
  <c r="W388" i="15"/>
  <c r="Z362" i="15"/>
  <c r="AA362" i="15"/>
  <c r="V358" i="15"/>
  <c r="W358" i="15" s="1"/>
  <c r="AD315" i="15"/>
  <c r="AE315" i="15" s="1"/>
  <c r="R390" i="15"/>
  <c r="S390" i="15" s="1"/>
  <c r="Y388" i="15"/>
  <c r="AC378" i="15"/>
  <c r="Z316" i="15"/>
  <c r="AA316" i="15"/>
  <c r="AC388" i="15"/>
  <c r="AH357" i="15"/>
  <c r="AI357" i="15" s="1"/>
  <c r="AC391" i="15"/>
  <c r="V404" i="15"/>
  <c r="W404" i="15"/>
  <c r="AG402" i="15"/>
  <c r="AC405" i="15"/>
  <c r="U401" i="15"/>
  <c r="AH386" i="15"/>
  <c r="AI386" i="15"/>
  <c r="AL401" i="15"/>
  <c r="AM401" i="15"/>
  <c r="Q405" i="15"/>
  <c r="AK407" i="15"/>
  <c r="AC377" i="15"/>
  <c r="Q377" i="15"/>
  <c r="AL316" i="15"/>
  <c r="AM316" i="15" s="1"/>
  <c r="V316" i="15"/>
  <c r="W316" i="15" s="1"/>
  <c r="AC408" i="15"/>
  <c r="U407" i="15"/>
  <c r="Z385" i="15"/>
  <c r="AA385" i="15" s="1"/>
  <c r="R385" i="15"/>
  <c r="S385" i="15" s="1"/>
  <c r="R384" i="15"/>
  <c r="S384" i="15"/>
  <c r="AH383" i="15"/>
  <c r="AI383" i="15" s="1"/>
  <c r="AK380" i="15"/>
  <c r="Y361" i="15"/>
  <c r="AD227" i="15"/>
  <c r="AE227" i="15" s="1"/>
  <c r="V223" i="15"/>
  <c r="W223" i="15" s="1"/>
  <c r="H532" i="15"/>
  <c r="T173" i="15"/>
  <c r="U173" i="15" s="1"/>
  <c r="X173" i="15"/>
  <c r="Y173" i="15"/>
  <c r="G533" i="15"/>
  <c r="G529" i="15"/>
  <c r="I510" i="15"/>
  <c r="T151" i="15"/>
  <c r="G118" i="3"/>
  <c r="G142" i="3"/>
  <c r="G100" i="3"/>
  <c r="N174" i="15"/>
  <c r="O174" i="15"/>
  <c r="G79" i="4"/>
  <c r="G78" i="4"/>
  <c r="G69" i="3"/>
  <c r="G80" i="3"/>
  <c r="G74" i="3"/>
  <c r="G65" i="3"/>
  <c r="G82" i="3"/>
  <c r="G81" i="3"/>
  <c r="G71" i="3"/>
  <c r="G67" i="3"/>
  <c r="E77" i="15"/>
  <c r="E203" i="15"/>
  <c r="G26" i="3"/>
  <c r="G22" i="3"/>
  <c r="G18" i="3"/>
  <c r="N75" i="15"/>
  <c r="O75" i="15"/>
  <c r="G69" i="4"/>
  <c r="G95" i="4"/>
  <c r="G127" i="4"/>
  <c r="G123" i="4"/>
  <c r="G138" i="4"/>
  <c r="G134" i="4"/>
  <c r="G130" i="4"/>
  <c r="G126" i="4"/>
  <c r="G122" i="4"/>
  <c r="G137" i="4"/>
  <c r="G133" i="4"/>
  <c r="G77" i="4"/>
  <c r="G71" i="4"/>
  <c r="F165" i="15"/>
  <c r="N165" i="15"/>
  <c r="O165" i="15"/>
  <c r="G72" i="4"/>
  <c r="F161" i="15"/>
  <c r="N161" i="15"/>
  <c r="O161" i="15"/>
  <c r="G67" i="4"/>
  <c r="G60" i="4"/>
  <c r="G63" i="4"/>
  <c r="F137" i="15"/>
  <c r="N137" i="15" s="1"/>
  <c r="O137" i="15" s="1"/>
  <c r="F141" i="15"/>
  <c r="N141" i="15" s="1"/>
  <c r="O141" i="15" s="1"/>
  <c r="F143" i="15"/>
  <c r="N143" i="15"/>
  <c r="O143" i="15"/>
  <c r="F139" i="15"/>
  <c r="N139" i="15" s="1"/>
  <c r="O139" i="15"/>
  <c r="F60" i="15"/>
  <c r="N60" i="15" s="1"/>
  <c r="O60" i="15" s="1"/>
  <c r="G19" i="4"/>
  <c r="F76" i="15"/>
  <c r="N76" i="15" s="1"/>
  <c r="O76" i="15" s="1"/>
  <c r="G29" i="4"/>
  <c r="G25" i="4"/>
  <c r="G21" i="4"/>
  <c r="G17" i="4"/>
  <c r="G140" i="3"/>
  <c r="G133" i="3"/>
  <c r="G103" i="3"/>
  <c r="G117" i="3"/>
  <c r="G108" i="3"/>
  <c r="G127" i="3"/>
  <c r="G120" i="3"/>
  <c r="G131" i="3"/>
  <c r="G134" i="3"/>
  <c r="G110" i="3"/>
  <c r="G130" i="3"/>
  <c r="G138" i="3"/>
  <c r="G123" i="3"/>
  <c r="E117" i="15"/>
  <c r="E243" i="15" s="1"/>
  <c r="G106" i="3"/>
  <c r="G98" i="3"/>
  <c r="E79" i="15"/>
  <c r="E205" i="15" s="1"/>
  <c r="G94" i="3"/>
  <c r="E124" i="15"/>
  <c r="E250" i="15"/>
  <c r="G113" i="3"/>
  <c r="E154" i="15"/>
  <c r="E280" i="15" s="1"/>
  <c r="G132" i="3"/>
  <c r="E150" i="15"/>
  <c r="E276" i="15" s="1"/>
  <c r="G128" i="3"/>
  <c r="E146" i="15"/>
  <c r="E272" i="15"/>
  <c r="G124" i="3"/>
  <c r="E172" i="15"/>
  <c r="E298" i="15"/>
  <c r="G139" i="3"/>
  <c r="E168" i="15"/>
  <c r="E294" i="15" s="1"/>
  <c r="G135" i="3"/>
  <c r="D253" i="15"/>
  <c r="D610" i="15"/>
  <c r="G79" i="3"/>
  <c r="G75" i="3"/>
  <c r="G73" i="3"/>
  <c r="G62" i="3"/>
  <c r="G49" i="3"/>
  <c r="G45" i="3"/>
  <c r="G60" i="3"/>
  <c r="G56" i="3"/>
  <c r="G52" i="3"/>
  <c r="G36" i="3"/>
  <c r="E93" i="15"/>
  <c r="E219" i="15" s="1"/>
  <c r="D236" i="15"/>
  <c r="D593" i="15" s="1"/>
  <c r="E76" i="15"/>
  <c r="E202" i="15"/>
  <c r="G29" i="3"/>
  <c r="E60" i="15"/>
  <c r="E186" i="15" s="1"/>
  <c r="D199" i="15"/>
  <c r="D556" i="15"/>
  <c r="Z223" i="15"/>
  <c r="AA223" i="15" s="1"/>
  <c r="AH227" i="15"/>
  <c r="AI227" i="15" s="1"/>
  <c r="L564" i="15"/>
  <c r="I532" i="15"/>
  <c r="AB173" i="15"/>
  <c r="AC173" i="15" s="1"/>
  <c r="N150" i="15"/>
  <c r="O150" i="15"/>
  <c r="AL227" i="15"/>
  <c r="AM227" i="15" s="1"/>
  <c r="AL246" i="15"/>
  <c r="AM246" i="15"/>
  <c r="AD223" i="15"/>
  <c r="AE223" i="15" s="1"/>
  <c r="J532" i="15"/>
  <c r="AH223" i="15"/>
  <c r="AI223" i="15" s="1"/>
  <c r="AH241" i="15"/>
  <c r="AI241" i="15" s="1"/>
  <c r="AL241" i="15"/>
  <c r="AM241" i="15" s="1"/>
  <c r="AL223" i="15"/>
  <c r="AM223" i="15" s="1"/>
  <c r="M95" i="20"/>
  <c r="J184" i="20"/>
  <c r="I91" i="20"/>
  <c r="L95" i="20"/>
  <c r="N80" i="18"/>
  <c r="S184" i="20"/>
  <c r="I81" i="18"/>
  <c r="N97" i="20" s="1"/>
  <c r="F81" i="18"/>
  <c r="K185" i="20" s="1"/>
  <c r="O95" i="20"/>
  <c r="R184" i="20"/>
  <c r="N184" i="20"/>
  <c r="Q95" i="20"/>
  <c r="P90" i="20"/>
  <c r="R90" i="20"/>
  <c r="I123" i="20"/>
  <c r="I149" i="20"/>
  <c r="I176" i="20"/>
  <c r="I194" i="20"/>
  <c r="I235" i="20"/>
  <c r="I242" i="20"/>
  <c r="I246" i="20"/>
  <c r="K532" i="15"/>
  <c r="AF173" i="15"/>
  <c r="AG173" i="15"/>
  <c r="X151" i="15"/>
  <c r="Y151" i="15" s="1"/>
  <c r="P166" i="15"/>
  <c r="Q166" i="15"/>
  <c r="G525" i="15"/>
  <c r="P131" i="15"/>
  <c r="Q131" i="15"/>
  <c r="P126" i="15"/>
  <c r="P123" i="15"/>
  <c r="Q123" i="15" s="1"/>
  <c r="P130" i="15"/>
  <c r="P127" i="15"/>
  <c r="G511" i="15"/>
  <c r="P152" i="15"/>
  <c r="Q152" i="15" s="1"/>
  <c r="P148" i="15"/>
  <c r="Q148" i="15" s="1"/>
  <c r="G507" i="15"/>
  <c r="P172" i="15"/>
  <c r="R172" i="15" s="1"/>
  <c r="S172" i="15" s="1"/>
  <c r="G531" i="15"/>
  <c r="G528" i="15"/>
  <c r="P169" i="15"/>
  <c r="Q169" i="15" s="1"/>
  <c r="P120" i="15"/>
  <c r="G479" i="15"/>
  <c r="G475" i="15"/>
  <c r="G513" i="15"/>
  <c r="P154" i="15"/>
  <c r="Q154" i="15" s="1"/>
  <c r="P175" i="15"/>
  <c r="Q175" i="15"/>
  <c r="G534" i="15"/>
  <c r="G530" i="15"/>
  <c r="P171" i="15"/>
  <c r="Q171" i="15"/>
  <c r="J491" i="15"/>
  <c r="AB132" i="15"/>
  <c r="AC132" i="15" s="1"/>
  <c r="G489" i="15"/>
  <c r="T125" i="15"/>
  <c r="P121" i="15"/>
  <c r="Q121" i="15" s="1"/>
  <c r="I476" i="15"/>
  <c r="X117" i="15"/>
  <c r="G509" i="15"/>
  <c r="P150" i="15"/>
  <c r="Q150" i="15" s="1"/>
  <c r="P174" i="15"/>
  <c r="Q174" i="15"/>
  <c r="AB124" i="15"/>
  <c r="J483" i="15"/>
  <c r="G482" i="15"/>
  <c r="H476" i="15"/>
  <c r="G487" i="15"/>
  <c r="AB119" i="15"/>
  <c r="P115" i="15"/>
  <c r="Q115" i="15" s="1"/>
  <c r="P128" i="15"/>
  <c r="Q128" i="15"/>
  <c r="P116" i="15"/>
  <c r="G505" i="15"/>
  <c r="P146" i="15"/>
  <c r="Q146" i="15"/>
  <c r="P167" i="15"/>
  <c r="Q167" i="15" s="1"/>
  <c r="G526" i="15"/>
  <c r="P147" i="15"/>
  <c r="Q147" i="15" s="1"/>
  <c r="G508" i="15"/>
  <c r="G527" i="15"/>
  <c r="G532" i="15"/>
  <c r="P173" i="15"/>
  <c r="Q173" i="15" s="1"/>
  <c r="P118" i="15"/>
  <c r="Q118" i="15" s="1"/>
  <c r="P170" i="15"/>
  <c r="Q170" i="15" s="1"/>
  <c r="P151" i="15"/>
  <c r="G506" i="15"/>
  <c r="P145" i="15"/>
  <c r="Q145" i="15" s="1"/>
  <c r="G491" i="15"/>
  <c r="G483" i="15"/>
  <c r="H491" i="15"/>
  <c r="H483" i="15"/>
  <c r="I491" i="15"/>
  <c r="I483" i="15"/>
  <c r="T132" i="15"/>
  <c r="V132" i="15" s="1"/>
  <c r="W132" i="15" s="1"/>
  <c r="U132" i="15"/>
  <c r="X132" i="15"/>
  <c r="Y132" i="15"/>
  <c r="G512" i="15"/>
  <c r="P153" i="15"/>
  <c r="P149" i="15"/>
  <c r="Q149" i="15"/>
  <c r="G524" i="15"/>
  <c r="P165" i="15"/>
  <c r="R165" i="15" s="1"/>
  <c r="S165" i="15" s="1"/>
  <c r="P162" i="15"/>
  <c r="Q162" i="15" s="1"/>
  <c r="G521" i="15"/>
  <c r="P160" i="15"/>
  <c r="P159" i="15"/>
  <c r="Q159" i="15" s="1"/>
  <c r="G518" i="15"/>
  <c r="G520" i="15"/>
  <c r="P161" i="15"/>
  <c r="G516" i="15"/>
  <c r="P157" i="15"/>
  <c r="Q157" i="15"/>
  <c r="G522" i="15"/>
  <c r="P163" i="15"/>
  <c r="F158" i="15"/>
  <c r="L81" i="4"/>
  <c r="G496" i="15"/>
  <c r="P137" i="15"/>
  <c r="Q137" i="15" s="1"/>
  <c r="G501" i="15"/>
  <c r="P142" i="15"/>
  <c r="G499" i="15"/>
  <c r="P139" i="15"/>
  <c r="G498" i="15"/>
  <c r="P144" i="15"/>
  <c r="G503" i="15"/>
  <c r="G502" i="15"/>
  <c r="P143" i="15"/>
  <c r="R143" i="15" s="1"/>
  <c r="S143" i="15" s="1"/>
  <c r="G500" i="15"/>
  <c r="P141" i="15"/>
  <c r="Q141" i="15" s="1"/>
  <c r="F138" i="15"/>
  <c r="N138" i="15"/>
  <c r="O138" i="15" s="1"/>
  <c r="P140" i="15"/>
  <c r="Q140" i="15"/>
  <c r="H457" i="15"/>
  <c r="P98" i="15"/>
  <c r="Q98" i="15" s="1"/>
  <c r="G457" i="15"/>
  <c r="G467" i="15"/>
  <c r="P108" i="15"/>
  <c r="R108" i="15" s="1"/>
  <c r="S108" i="15" s="1"/>
  <c r="P110" i="15"/>
  <c r="G469" i="15"/>
  <c r="P107" i="15"/>
  <c r="G466" i="15"/>
  <c r="G462" i="15"/>
  <c r="N103" i="15"/>
  <c r="O103" i="15" s="1"/>
  <c r="G460" i="15"/>
  <c r="P102" i="15"/>
  <c r="R102" i="15" s="1"/>
  <c r="S102" i="15" s="1"/>
  <c r="P104" i="15"/>
  <c r="G463" i="15"/>
  <c r="P106" i="15"/>
  <c r="T101" i="15"/>
  <c r="P97" i="15"/>
  <c r="Q97" i="15"/>
  <c r="P96" i="15"/>
  <c r="Q96" i="15" s="1"/>
  <c r="G455" i="15"/>
  <c r="P109" i="15"/>
  <c r="Q109" i="15" s="1"/>
  <c r="P99" i="15"/>
  <c r="Q99" i="15" s="1"/>
  <c r="P113" i="15"/>
  <c r="Q113" i="15" s="1"/>
  <c r="T98" i="15"/>
  <c r="G468" i="15"/>
  <c r="H460" i="15"/>
  <c r="P112" i="15"/>
  <c r="Q112" i="15" s="1"/>
  <c r="G471" i="15"/>
  <c r="P103" i="15"/>
  <c r="Q103" i="15" s="1"/>
  <c r="N105" i="15"/>
  <c r="O105" i="15" s="1"/>
  <c r="N99" i="15"/>
  <c r="O99" i="15"/>
  <c r="G459" i="15"/>
  <c r="N101" i="15"/>
  <c r="O101" i="15" s="1"/>
  <c r="P101" i="15"/>
  <c r="P70" i="15"/>
  <c r="Q70" i="15" s="1"/>
  <c r="N70" i="15"/>
  <c r="O70" i="15"/>
  <c r="G423" i="15"/>
  <c r="O64" i="15"/>
  <c r="P76" i="15"/>
  <c r="Q76" i="15"/>
  <c r="G435" i="15"/>
  <c r="P73" i="15"/>
  <c r="Q73" i="15" s="1"/>
  <c r="G432" i="15"/>
  <c r="G419" i="15"/>
  <c r="P60" i="15"/>
  <c r="R60" i="15" s="1"/>
  <c r="S60" i="15" s="1"/>
  <c r="P77" i="15"/>
  <c r="G436" i="15"/>
  <c r="P71" i="15"/>
  <c r="G430" i="15"/>
  <c r="P65" i="15"/>
  <c r="Q65" i="15" s="1"/>
  <c r="G424" i="15"/>
  <c r="G427" i="15"/>
  <c r="P68" i="15"/>
  <c r="Q68" i="15" s="1"/>
  <c r="P75" i="15"/>
  <c r="Q75" i="15" s="1"/>
  <c r="G434" i="15"/>
  <c r="P69" i="15"/>
  <c r="Q69" i="15" s="1"/>
  <c r="G428" i="15"/>
  <c r="G422" i="15"/>
  <c r="P63" i="15"/>
  <c r="Q63" i="15" s="1"/>
  <c r="P74" i="15"/>
  <c r="Q74" i="15" s="1"/>
  <c r="G433" i="15"/>
  <c r="G425" i="15"/>
  <c r="P66" i="15"/>
  <c r="Q66" i="15" s="1"/>
  <c r="P61" i="15"/>
  <c r="Q61" i="15" s="1"/>
  <c r="G420" i="15"/>
  <c r="P72" i="15"/>
  <c r="G431" i="15"/>
  <c r="G426" i="15"/>
  <c r="P67" i="15"/>
  <c r="Q67" i="15" s="1"/>
  <c r="G429" i="15"/>
  <c r="G421" i="15"/>
  <c r="P62" i="15"/>
  <c r="Q62" i="15" s="1"/>
  <c r="G615" i="15"/>
  <c r="F615" i="15"/>
  <c r="N258" i="15"/>
  <c r="O258" i="15"/>
  <c r="G606" i="15"/>
  <c r="N249" i="15"/>
  <c r="O249" i="15"/>
  <c r="F606" i="15"/>
  <c r="F614" i="15"/>
  <c r="N257" i="15"/>
  <c r="O257" i="15"/>
  <c r="N126" i="15"/>
  <c r="O126" i="15" s="1"/>
  <c r="F605" i="15"/>
  <c r="N271" i="15"/>
  <c r="O271" i="15"/>
  <c r="N116" i="15"/>
  <c r="O116" i="15" s="1"/>
  <c r="R240" i="15"/>
  <c r="S240" i="15" s="1"/>
  <c r="G601" i="15"/>
  <c r="Z255" i="15"/>
  <c r="AA255" i="15" s="1"/>
  <c r="AC241" i="15"/>
  <c r="T244" i="15"/>
  <c r="U244" i="15" s="1"/>
  <c r="X244" i="15"/>
  <c r="Z244" i="15" s="1"/>
  <c r="Z241" i="15"/>
  <c r="AA241" i="15" s="1"/>
  <c r="N294" i="15"/>
  <c r="O294" i="15"/>
  <c r="F601" i="15"/>
  <c r="H601" i="15"/>
  <c r="I601" i="15"/>
  <c r="F637" i="15"/>
  <c r="N280" i="15"/>
  <c r="O280" i="15" s="1"/>
  <c r="F655" i="15"/>
  <c r="N298" i="15"/>
  <c r="O298" i="15" s="1"/>
  <c r="AJ207" i="15"/>
  <c r="O172" i="15"/>
  <c r="F629" i="15"/>
  <c r="N272" i="15"/>
  <c r="O272" i="15" s="1"/>
  <c r="F628" i="15"/>
  <c r="F651" i="15"/>
  <c r="F633" i="15"/>
  <c r="N276" i="15"/>
  <c r="O276" i="15" s="1"/>
  <c r="N243" i="15"/>
  <c r="O243" i="15"/>
  <c r="F600" i="15"/>
  <c r="N252" i="15"/>
  <c r="O252" i="15" s="1"/>
  <c r="F609" i="15"/>
  <c r="E256" i="15"/>
  <c r="N251" i="15"/>
  <c r="O251" i="15" s="1"/>
  <c r="F608" i="15"/>
  <c r="P254" i="15"/>
  <c r="N292" i="15"/>
  <c r="O292" i="15" s="1"/>
  <c r="F649" i="15"/>
  <c r="P258" i="15"/>
  <c r="AB244" i="15"/>
  <c r="F636" i="15"/>
  <c r="N279" i="15"/>
  <c r="O279" i="15" s="1"/>
  <c r="F634" i="15"/>
  <c r="N277" i="15"/>
  <c r="O277" i="15"/>
  <c r="F657" i="15"/>
  <c r="N300" i="15"/>
  <c r="O300" i="15"/>
  <c r="N297" i="15"/>
  <c r="O297" i="15" s="1"/>
  <c r="F654" i="15"/>
  <c r="F650" i="15"/>
  <c r="N293" i="15"/>
  <c r="O293" i="15" s="1"/>
  <c r="N244" i="15"/>
  <c r="O244" i="15"/>
  <c r="P257" i="15"/>
  <c r="F630" i="15"/>
  <c r="N273" i="15"/>
  <c r="O273" i="15"/>
  <c r="F653" i="15"/>
  <c r="N296" i="15"/>
  <c r="O296" i="15" s="1"/>
  <c r="N254" i="15"/>
  <c r="O254" i="15"/>
  <c r="P244" i="15"/>
  <c r="P249" i="15"/>
  <c r="R249" i="15" s="1"/>
  <c r="P245" i="15"/>
  <c r="T240" i="15"/>
  <c r="F635" i="15"/>
  <c r="N278" i="15"/>
  <c r="O278" i="15"/>
  <c r="F632" i="15"/>
  <c r="N275" i="15"/>
  <c r="O275" i="15" s="1"/>
  <c r="F656" i="15"/>
  <c r="N299" i="15"/>
  <c r="O299" i="15" s="1"/>
  <c r="N295" i="15"/>
  <c r="O295" i="15" s="1"/>
  <c r="F652" i="15"/>
  <c r="N118" i="15"/>
  <c r="O118" i="15"/>
  <c r="N248" i="15"/>
  <c r="O248" i="15"/>
  <c r="N245" i="15"/>
  <c r="O245" i="15"/>
  <c r="N240" i="15"/>
  <c r="O240" i="15" s="1"/>
  <c r="T241" i="15"/>
  <c r="X246" i="15"/>
  <c r="AF246" i="15"/>
  <c r="AH246" i="15" s="1"/>
  <c r="AB255" i="15"/>
  <c r="F658" i="15"/>
  <c r="N301" i="15"/>
  <c r="O301" i="15" s="1"/>
  <c r="F631" i="15"/>
  <c r="N274" i="15"/>
  <c r="O274" i="15"/>
  <c r="E286" i="15"/>
  <c r="N156" i="15"/>
  <c r="O156" i="15" s="1"/>
  <c r="J85" i="3"/>
  <c r="L83" i="3"/>
  <c r="F639" i="15"/>
  <c r="N282" i="15"/>
  <c r="O282" i="15"/>
  <c r="N290" i="15"/>
  <c r="O290" i="15"/>
  <c r="F647" i="15"/>
  <c r="N158" i="15"/>
  <c r="O158" i="15" s="1"/>
  <c r="E288" i="15"/>
  <c r="E287" i="15"/>
  <c r="F642" i="15"/>
  <c r="N285" i="15"/>
  <c r="O285" i="15"/>
  <c r="F648" i="15"/>
  <c r="N291" i="15"/>
  <c r="O291" i="15" s="1"/>
  <c r="F646" i="15"/>
  <c r="N289" i="15"/>
  <c r="O289" i="15"/>
  <c r="N286" i="15"/>
  <c r="O286" i="15"/>
  <c r="F643" i="15"/>
  <c r="R231" i="15"/>
  <c r="S231" i="15" s="1"/>
  <c r="Q231" i="15"/>
  <c r="F594" i="15"/>
  <c r="F586" i="15"/>
  <c r="N95" i="15"/>
  <c r="O95" i="15"/>
  <c r="F593" i="15"/>
  <c r="G588" i="15"/>
  <c r="N228" i="15"/>
  <c r="O228" i="15"/>
  <c r="F579" i="15"/>
  <c r="N231" i="15"/>
  <c r="O231" i="15" s="1"/>
  <c r="N225" i="15"/>
  <c r="O225" i="15" s="1"/>
  <c r="F582" i="15"/>
  <c r="F548" i="15"/>
  <c r="F555" i="15"/>
  <c r="N199" i="15"/>
  <c r="O199" i="15"/>
  <c r="F556" i="15"/>
  <c r="N202" i="15"/>
  <c r="O202" i="15" s="1"/>
  <c r="F559" i="15"/>
  <c r="N193" i="15"/>
  <c r="O193" i="15"/>
  <c r="F550" i="15"/>
  <c r="N203" i="15"/>
  <c r="O203" i="15" s="1"/>
  <c r="F560" i="15"/>
  <c r="N188" i="15"/>
  <c r="O188" i="15" s="1"/>
  <c r="F545" i="15"/>
  <c r="N201" i="15"/>
  <c r="O201" i="15"/>
  <c r="N194" i="15"/>
  <c r="O194" i="15" s="1"/>
  <c r="N190" i="15"/>
  <c r="O190" i="15"/>
  <c r="N187" i="15"/>
  <c r="O187" i="15" s="1"/>
  <c r="N197" i="15"/>
  <c r="O197" i="15"/>
  <c r="N186" i="15"/>
  <c r="O186" i="15"/>
  <c r="F543" i="15"/>
  <c r="N200" i="15"/>
  <c r="O200" i="15" s="1"/>
  <c r="N196" i="15"/>
  <c r="O196" i="15" s="1"/>
  <c r="N189" i="15"/>
  <c r="O189" i="15" s="1"/>
  <c r="F558" i="15"/>
  <c r="N192" i="15"/>
  <c r="O192" i="15" s="1"/>
  <c r="N195" i="15"/>
  <c r="O195" i="15"/>
  <c r="N191" i="15"/>
  <c r="O191" i="15" s="1"/>
  <c r="N233" i="15"/>
  <c r="O233" i="15"/>
  <c r="F590" i="15"/>
  <c r="F585" i="15"/>
  <c r="N236" i="15"/>
  <c r="O236" i="15"/>
  <c r="N224" i="15"/>
  <c r="O224" i="15"/>
  <c r="F581" i="15"/>
  <c r="N232" i="15"/>
  <c r="O232" i="15"/>
  <c r="F589" i="15"/>
  <c r="N221" i="15"/>
  <c r="O221" i="15"/>
  <c r="F578" i="15"/>
  <c r="N234" i="15"/>
  <c r="O234" i="15" s="1"/>
  <c r="N222" i="15"/>
  <c r="O222" i="15" s="1"/>
  <c r="T227" i="15"/>
  <c r="F626" i="15"/>
  <c r="F624" i="15"/>
  <c r="E263" i="15"/>
  <c r="G64" i="3"/>
  <c r="N267" i="15"/>
  <c r="O267" i="15"/>
  <c r="E139" i="15"/>
  <c r="E265" i="15" s="1"/>
  <c r="N263" i="15"/>
  <c r="O263" i="15"/>
  <c r="F108" i="19"/>
  <c r="F128" i="19" s="1"/>
  <c r="C46" i="13"/>
  <c r="C47" i="13"/>
  <c r="C71" i="13"/>
  <c r="C83" i="13"/>
  <c r="C70" i="13"/>
  <c r="C84" i="13"/>
  <c r="F21" i="15"/>
  <c r="F57" i="15" s="1"/>
  <c r="G108" i="19" s="1"/>
  <c r="G128" i="19" s="1"/>
  <c r="C56" i="13"/>
  <c r="B86" i="4"/>
  <c r="S95" i="20"/>
  <c r="R137" i="15"/>
  <c r="S137" i="15"/>
  <c r="H512" i="15"/>
  <c r="T153" i="15"/>
  <c r="U153" i="15"/>
  <c r="X118" i="15"/>
  <c r="I477" i="15"/>
  <c r="H508" i="15"/>
  <c r="T149" i="15"/>
  <c r="AF119" i="15"/>
  <c r="AG119" i="15" s="1"/>
  <c r="K478" i="15"/>
  <c r="T150" i="15"/>
  <c r="H509" i="15"/>
  <c r="R128" i="15"/>
  <c r="S128" i="15" s="1"/>
  <c r="K491" i="15"/>
  <c r="AF132" i="15"/>
  <c r="AG132" i="15"/>
  <c r="T171" i="15"/>
  <c r="U171" i="15" s="1"/>
  <c r="H530" i="15"/>
  <c r="T154" i="15"/>
  <c r="U154" i="15"/>
  <c r="H513" i="15"/>
  <c r="T152" i="15"/>
  <c r="H511" i="15"/>
  <c r="T123" i="15"/>
  <c r="U123" i="15" s="1"/>
  <c r="H482" i="15"/>
  <c r="T131" i="15"/>
  <c r="U131" i="15"/>
  <c r="H490" i="15"/>
  <c r="AJ173" i="15"/>
  <c r="AK173" i="15" s="1"/>
  <c r="L532" i="15"/>
  <c r="T133" i="15"/>
  <c r="U133" i="15" s="1"/>
  <c r="H492" i="15"/>
  <c r="T121" i="15"/>
  <c r="U121" i="15" s="1"/>
  <c r="H480" i="15"/>
  <c r="H534" i="15"/>
  <c r="T175" i="15"/>
  <c r="U175" i="15"/>
  <c r="H475" i="15"/>
  <c r="T116" i="15"/>
  <c r="U116" i="15" s="1"/>
  <c r="H479" i="15"/>
  <c r="T120" i="15"/>
  <c r="T148" i="15"/>
  <c r="H507" i="15"/>
  <c r="P122" i="15"/>
  <c r="G481" i="15"/>
  <c r="T130" i="15"/>
  <c r="U130" i="15"/>
  <c r="H489" i="15"/>
  <c r="T126" i="15"/>
  <c r="V126" i="15" s="1"/>
  <c r="W126" i="15" s="1"/>
  <c r="H485" i="15"/>
  <c r="H527" i="15"/>
  <c r="T168" i="15"/>
  <c r="V168" i="15" s="1"/>
  <c r="W168" i="15" s="1"/>
  <c r="H506" i="15"/>
  <c r="T147" i="15"/>
  <c r="U125" i="15"/>
  <c r="V125" i="15"/>
  <c r="W125" i="15"/>
  <c r="T169" i="15"/>
  <c r="H528" i="15"/>
  <c r="H531" i="15"/>
  <c r="T172" i="15"/>
  <c r="R166" i="15"/>
  <c r="S166" i="15"/>
  <c r="T167" i="15"/>
  <c r="U167" i="15" s="1"/>
  <c r="H526" i="15"/>
  <c r="H504" i="15"/>
  <c r="T145" i="15"/>
  <c r="T170" i="15"/>
  <c r="H529" i="15"/>
  <c r="T146" i="15"/>
  <c r="U146" i="15" s="1"/>
  <c r="H505" i="15"/>
  <c r="T115" i="15"/>
  <c r="U115" i="15" s="1"/>
  <c r="H474" i="15"/>
  <c r="H487" i="15"/>
  <c r="T128" i="15"/>
  <c r="V128" i="15" s="1"/>
  <c r="K483" i="15"/>
  <c r="AF124" i="15"/>
  <c r="AG124" i="15" s="1"/>
  <c r="H533" i="15"/>
  <c r="T174" i="15"/>
  <c r="AB117" i="15"/>
  <c r="AC117" i="15" s="1"/>
  <c r="J476" i="15"/>
  <c r="X125" i="15"/>
  <c r="Y125" i="15"/>
  <c r="I484" i="15"/>
  <c r="G488" i="15"/>
  <c r="P129" i="15"/>
  <c r="R129" i="15" s="1"/>
  <c r="S129" i="15" s="1"/>
  <c r="H486" i="15"/>
  <c r="T127" i="15"/>
  <c r="U127" i="15"/>
  <c r="H525" i="15"/>
  <c r="T166" i="15"/>
  <c r="V166" i="15" s="1"/>
  <c r="J510" i="15"/>
  <c r="AB151" i="15"/>
  <c r="AC151" i="15"/>
  <c r="G517" i="15"/>
  <c r="P158" i="15"/>
  <c r="T161" i="15"/>
  <c r="U161" i="15"/>
  <c r="H520" i="15"/>
  <c r="H516" i="15"/>
  <c r="T157" i="15"/>
  <c r="U157" i="15"/>
  <c r="G523" i="15"/>
  <c r="P164" i="15"/>
  <c r="R164" i="15"/>
  <c r="S164" i="15"/>
  <c r="T165" i="15"/>
  <c r="U165" i="15" s="1"/>
  <c r="H524" i="15"/>
  <c r="H519" i="15"/>
  <c r="T160" i="15"/>
  <c r="H521" i="15"/>
  <c r="T162" i="15"/>
  <c r="U162" i="15"/>
  <c r="H522" i="15"/>
  <c r="T163" i="15"/>
  <c r="T159" i="15"/>
  <c r="U159" i="15" s="1"/>
  <c r="H518" i="15"/>
  <c r="H535" i="15" s="1"/>
  <c r="H176" i="15" s="1"/>
  <c r="G515" i="15"/>
  <c r="P156" i="15"/>
  <c r="H503" i="15"/>
  <c r="T144" i="15"/>
  <c r="U144" i="15" s="1"/>
  <c r="H501" i="15"/>
  <c r="T142" i="15"/>
  <c r="U142" i="15"/>
  <c r="H500" i="15"/>
  <c r="T141" i="15"/>
  <c r="U141" i="15"/>
  <c r="T143" i="15"/>
  <c r="V143" i="15" s="1"/>
  <c r="W143" i="15" s="1"/>
  <c r="H502" i="15"/>
  <c r="T139" i="15"/>
  <c r="U139" i="15"/>
  <c r="H498" i="15"/>
  <c r="T140" i="15"/>
  <c r="U140" i="15"/>
  <c r="H499" i="15"/>
  <c r="H496" i="15"/>
  <c r="T137" i="15"/>
  <c r="U137" i="15"/>
  <c r="P138" i="15"/>
  <c r="G497" i="15"/>
  <c r="T110" i="15"/>
  <c r="U110" i="15" s="1"/>
  <c r="H469" i="15"/>
  <c r="G453" i="15"/>
  <c r="P94" i="15"/>
  <c r="H459" i="15"/>
  <c r="T100" i="15"/>
  <c r="U100" i="15" s="1"/>
  <c r="T95" i="15"/>
  <c r="H454" i="15"/>
  <c r="T112" i="15"/>
  <c r="H471" i="15"/>
  <c r="X98" i="15"/>
  <c r="Z98" i="15" s="1"/>
  <c r="AA98" i="15" s="1"/>
  <c r="Y98" i="15"/>
  <c r="I457" i="15"/>
  <c r="T113" i="15"/>
  <c r="U113" i="15" s="1"/>
  <c r="H472" i="15"/>
  <c r="T109" i="15"/>
  <c r="V109" i="15" s="1"/>
  <c r="W109" i="15" s="1"/>
  <c r="U109" i="15"/>
  <c r="H468" i="15"/>
  <c r="X101" i="15"/>
  <c r="Y101" i="15" s="1"/>
  <c r="I460" i="15"/>
  <c r="H467" i="15"/>
  <c r="T108" i="15"/>
  <c r="P105" i="15"/>
  <c r="Q105" i="15"/>
  <c r="G464" i="15"/>
  <c r="T102" i="15"/>
  <c r="U102" i="15" s="1"/>
  <c r="H461" i="15"/>
  <c r="P111" i="15"/>
  <c r="Q111" i="15"/>
  <c r="G470" i="15"/>
  <c r="T103" i="15"/>
  <c r="H462" i="15"/>
  <c r="T99" i="15"/>
  <c r="H458" i="15"/>
  <c r="T107" i="15"/>
  <c r="U107" i="15"/>
  <c r="H466" i="15"/>
  <c r="H455" i="15"/>
  <c r="T96" i="15"/>
  <c r="U96" i="15"/>
  <c r="T97" i="15"/>
  <c r="H456" i="15"/>
  <c r="T106" i="15"/>
  <c r="H465" i="15"/>
  <c r="H463" i="15"/>
  <c r="T104" i="15"/>
  <c r="H423" i="15"/>
  <c r="P64" i="15"/>
  <c r="R64" i="15"/>
  <c r="S64" i="15" s="1"/>
  <c r="T62" i="15"/>
  <c r="H421" i="15"/>
  <c r="T71" i="15"/>
  <c r="U71" i="15" s="1"/>
  <c r="H430" i="15"/>
  <c r="H436" i="15"/>
  <c r="T77" i="15"/>
  <c r="T63" i="15"/>
  <c r="H422" i="15"/>
  <c r="H427" i="15"/>
  <c r="T68" i="15"/>
  <c r="V68" i="15" s="1"/>
  <c r="W68" i="15" s="1"/>
  <c r="U68" i="15"/>
  <c r="T65" i="15"/>
  <c r="U65" i="15" s="1"/>
  <c r="H424" i="15"/>
  <c r="T61" i="15"/>
  <c r="H420" i="15"/>
  <c r="T74" i="15"/>
  <c r="U74" i="15" s="1"/>
  <c r="H433" i="15"/>
  <c r="T67" i="15"/>
  <c r="H426" i="15"/>
  <c r="H428" i="15"/>
  <c r="T69" i="15"/>
  <c r="T73" i="15"/>
  <c r="H432" i="15"/>
  <c r="H429" i="15"/>
  <c r="T70" i="15"/>
  <c r="H431" i="15"/>
  <c r="T72" i="15"/>
  <c r="U72" i="15"/>
  <c r="T66" i="15"/>
  <c r="V66" i="15" s="1"/>
  <c r="W66" i="15" s="1"/>
  <c r="H425" i="15"/>
  <c r="T75" i="15"/>
  <c r="H434" i="15"/>
  <c r="T64" i="15"/>
  <c r="U64" i="15" s="1"/>
  <c r="H419" i="15"/>
  <c r="T60" i="15"/>
  <c r="T76" i="15"/>
  <c r="V76" i="15" s="1"/>
  <c r="W76" i="15" s="1"/>
  <c r="H435" i="15"/>
  <c r="Y244" i="15"/>
  <c r="AA244" i="15"/>
  <c r="F599" i="15"/>
  <c r="N242" i="15"/>
  <c r="O242" i="15" s="1"/>
  <c r="P248" i="15"/>
  <c r="G605" i="15"/>
  <c r="V244" i="15"/>
  <c r="W244" i="15" s="1"/>
  <c r="F610" i="15"/>
  <c r="G614" i="15"/>
  <c r="N253" i="15"/>
  <c r="O253" i="15"/>
  <c r="N259" i="15"/>
  <c r="O259" i="15"/>
  <c r="F616" i="15"/>
  <c r="G631" i="15"/>
  <c r="P274" i="15"/>
  <c r="AI246" i="15"/>
  <c r="Q249" i="15"/>
  <c r="S249" i="15"/>
  <c r="G654" i="15"/>
  <c r="P297" i="15"/>
  <c r="P251" i="15"/>
  <c r="G608" i="15"/>
  <c r="N256" i="15"/>
  <c r="O256" i="15" s="1"/>
  <c r="F613" i="15"/>
  <c r="P243" i="15"/>
  <c r="G600" i="15"/>
  <c r="V153" i="15"/>
  <c r="W153" i="15"/>
  <c r="AK207" i="15"/>
  <c r="AL207" i="15"/>
  <c r="AM207" i="15" s="1"/>
  <c r="G634" i="15"/>
  <c r="P277" i="15"/>
  <c r="V167" i="15"/>
  <c r="V175" i="15"/>
  <c r="W175" i="15" s="1"/>
  <c r="N250" i="15"/>
  <c r="O250" i="15"/>
  <c r="F607" i="15"/>
  <c r="P298" i="15"/>
  <c r="R298" i="15" s="1"/>
  <c r="S298" i="15" s="1"/>
  <c r="G655" i="15"/>
  <c r="Q245" i="15"/>
  <c r="R245" i="15"/>
  <c r="S245" i="15"/>
  <c r="G653" i="15"/>
  <c r="P296" i="15"/>
  <c r="R296" i="15" s="1"/>
  <c r="S296" i="15" s="1"/>
  <c r="P293" i="15"/>
  <c r="G650" i="15"/>
  <c r="V173" i="15"/>
  <c r="W173" i="15"/>
  <c r="AC255" i="15"/>
  <c r="AD255" i="15"/>
  <c r="AE255" i="15" s="1"/>
  <c r="Z246" i="15"/>
  <c r="AA246" i="15"/>
  <c r="Y246" i="15"/>
  <c r="P299" i="15"/>
  <c r="G656" i="15"/>
  <c r="P292" i="15"/>
  <c r="G649" i="15"/>
  <c r="F604" i="15"/>
  <c r="N247" i="15"/>
  <c r="O247" i="15"/>
  <c r="V127" i="15"/>
  <c r="W127" i="15" s="1"/>
  <c r="R146" i="15"/>
  <c r="S146" i="15" s="1"/>
  <c r="P294" i="15"/>
  <c r="G651" i="15"/>
  <c r="G628" i="15"/>
  <c r="P271" i="15"/>
  <c r="G637" i="15"/>
  <c r="P280" i="15"/>
  <c r="P278" i="15"/>
  <c r="G635" i="15"/>
  <c r="G657" i="15"/>
  <c r="P300" i="15"/>
  <c r="G652" i="15"/>
  <c r="P295" i="15"/>
  <c r="P275" i="15"/>
  <c r="G632" i="15"/>
  <c r="H602" i="15"/>
  <c r="T245" i="15"/>
  <c r="G630" i="15"/>
  <c r="P273" i="15"/>
  <c r="AF244" i="15"/>
  <c r="AH244" i="15" s="1"/>
  <c r="AI244" i="15" s="1"/>
  <c r="K601" i="15"/>
  <c r="T258" i="15"/>
  <c r="H615" i="15"/>
  <c r="R254" i="15"/>
  <c r="S254" i="15" s="1"/>
  <c r="Q254" i="15"/>
  <c r="V123" i="15"/>
  <c r="W123" i="15"/>
  <c r="G658" i="15"/>
  <c r="P301" i="15"/>
  <c r="Q301" i="15" s="1"/>
  <c r="AF255" i="15"/>
  <c r="K612" i="15"/>
  <c r="U241" i="15"/>
  <c r="V241" i="15"/>
  <c r="W241" i="15" s="1"/>
  <c r="X240" i="15"/>
  <c r="Y240" i="15" s="1"/>
  <c r="I597" i="15"/>
  <c r="H606" i="15"/>
  <c r="T249" i="15"/>
  <c r="V249" i="15" s="1"/>
  <c r="W249" i="15" s="1"/>
  <c r="P279" i="15"/>
  <c r="G636" i="15"/>
  <c r="AC244" i="15"/>
  <c r="AD244" i="15"/>
  <c r="AE244" i="15"/>
  <c r="H611" i="15"/>
  <c r="T254" i="15"/>
  <c r="P252" i="15"/>
  <c r="G609" i="15"/>
  <c r="F570" i="15"/>
  <c r="N213" i="15"/>
  <c r="O213" i="15" s="1"/>
  <c r="R117" i="15"/>
  <c r="S117" i="15" s="1"/>
  <c r="G633" i="15"/>
  <c r="P276" i="15"/>
  <c r="P272" i="15"/>
  <c r="R272" i="15" s="1"/>
  <c r="S272" i="15" s="1"/>
  <c r="G629" i="15"/>
  <c r="V124" i="15"/>
  <c r="W124" i="15" s="1"/>
  <c r="P289" i="15"/>
  <c r="G646" i="15"/>
  <c r="P285" i="15"/>
  <c r="G642" i="15"/>
  <c r="V165" i="15"/>
  <c r="W165" i="15" s="1"/>
  <c r="G647" i="15"/>
  <c r="P290" i="15"/>
  <c r="N288" i="15"/>
  <c r="O288" i="15" s="1"/>
  <c r="F645" i="15"/>
  <c r="F659" i="15" s="1"/>
  <c r="G639" i="15"/>
  <c r="P282" i="15"/>
  <c r="P286" i="15"/>
  <c r="G643" i="15"/>
  <c r="G648" i="15"/>
  <c r="P291" i="15"/>
  <c r="F644" i="15"/>
  <c r="N287" i="15"/>
  <c r="O287" i="15" s="1"/>
  <c r="F640" i="15"/>
  <c r="N283" i="15"/>
  <c r="O283" i="15"/>
  <c r="N284" i="15"/>
  <c r="O284" i="15" s="1"/>
  <c r="F641" i="15"/>
  <c r="N269" i="15"/>
  <c r="O269" i="15"/>
  <c r="P267" i="15"/>
  <c r="F596" i="15"/>
  <c r="N239" i="15"/>
  <c r="O239" i="15"/>
  <c r="G579" i="15"/>
  <c r="N235" i="15"/>
  <c r="O235" i="15"/>
  <c r="F592" i="15"/>
  <c r="N226" i="15"/>
  <c r="O226" i="15" s="1"/>
  <c r="F583" i="15"/>
  <c r="P225" i="15"/>
  <c r="Q225" i="15" s="1"/>
  <c r="G582" i="15"/>
  <c r="P229" i="15"/>
  <c r="G586" i="15"/>
  <c r="R112" i="15"/>
  <c r="S112" i="15" s="1"/>
  <c r="N230" i="15"/>
  <c r="O230" i="15" s="1"/>
  <c r="F587" i="15"/>
  <c r="N220" i="15"/>
  <c r="O220" i="15"/>
  <c r="F577" i="15"/>
  <c r="T231" i="15"/>
  <c r="H588" i="15"/>
  <c r="P222" i="15"/>
  <c r="N238" i="15"/>
  <c r="O238" i="15"/>
  <c r="F595" i="15"/>
  <c r="F591" i="15"/>
  <c r="V96" i="15"/>
  <c r="W96" i="15"/>
  <c r="P237" i="15"/>
  <c r="G594" i="15"/>
  <c r="N198" i="15"/>
  <c r="O198" i="15"/>
  <c r="P191" i="15"/>
  <c r="G548" i="15"/>
  <c r="P194" i="15"/>
  <c r="G551" i="15"/>
  <c r="P202" i="15"/>
  <c r="G559" i="15"/>
  <c r="P192" i="15"/>
  <c r="G549" i="15"/>
  <c r="P200" i="15"/>
  <c r="G557" i="15"/>
  <c r="P197" i="15"/>
  <c r="G554" i="15"/>
  <c r="P189" i="15"/>
  <c r="G546" i="15"/>
  <c r="P193" i="15"/>
  <c r="R193" i="15" s="1"/>
  <c r="G550" i="15"/>
  <c r="P195" i="15"/>
  <c r="G552" i="15"/>
  <c r="P187" i="15"/>
  <c r="G544" i="15"/>
  <c r="P190" i="15"/>
  <c r="R190" i="15" s="1"/>
  <c r="S190" i="15" s="1"/>
  <c r="G547" i="15"/>
  <c r="P201" i="15"/>
  <c r="G558" i="15"/>
  <c r="P203" i="15"/>
  <c r="G560" i="15"/>
  <c r="P198" i="15"/>
  <c r="G555" i="15"/>
  <c r="P196" i="15"/>
  <c r="Q196" i="15" s="1"/>
  <c r="G553" i="15"/>
  <c r="P186" i="15"/>
  <c r="G543" i="15"/>
  <c r="P188" i="15"/>
  <c r="R188" i="15" s="1"/>
  <c r="G545" i="15"/>
  <c r="P199" i="15"/>
  <c r="G556" i="15"/>
  <c r="U227" i="15"/>
  <c r="V227" i="15"/>
  <c r="W227" i="15" s="1"/>
  <c r="G590" i="15"/>
  <c r="P233" i="15"/>
  <c r="G589" i="15"/>
  <c r="P232" i="15"/>
  <c r="Q232" i="15" s="1"/>
  <c r="G585" i="15"/>
  <c r="P228" i="15"/>
  <c r="P236" i="15"/>
  <c r="R236" i="15" s="1"/>
  <c r="S236" i="15" s="1"/>
  <c r="G593" i="15"/>
  <c r="P221" i="15"/>
  <c r="G578" i="15"/>
  <c r="V113" i="15"/>
  <c r="W113" i="15" s="1"/>
  <c r="P224" i="15"/>
  <c r="G581" i="15"/>
  <c r="R141" i="15"/>
  <c r="S141" i="15" s="1"/>
  <c r="F620" i="15"/>
  <c r="F627" i="15"/>
  <c r="N270" i="15"/>
  <c r="O270" i="15" s="1"/>
  <c r="G626" i="15"/>
  <c r="P269" i="15"/>
  <c r="F625" i="15"/>
  <c r="N268" i="15"/>
  <c r="O268" i="15" s="1"/>
  <c r="G624" i="15"/>
  <c r="R140" i="15"/>
  <c r="S140" i="15"/>
  <c r="F623" i="15"/>
  <c r="N266" i="15"/>
  <c r="O266" i="15"/>
  <c r="F621" i="15"/>
  <c r="N264" i="15"/>
  <c r="O264" i="15"/>
  <c r="P263" i="15"/>
  <c r="G620" i="15"/>
  <c r="C73" i="13"/>
  <c r="C86" i="13"/>
  <c r="H21" i="15"/>
  <c r="H57" i="15" s="1"/>
  <c r="C59" i="13"/>
  <c r="C85" i="13"/>
  <c r="C72" i="13"/>
  <c r="C48" i="13"/>
  <c r="G21" i="15"/>
  <c r="G57" i="15" s="1"/>
  <c r="H108" i="19"/>
  <c r="H128" i="19"/>
  <c r="C58" i="13"/>
  <c r="V137" i="15"/>
  <c r="W137" i="15"/>
  <c r="V141" i="15"/>
  <c r="W141" i="15" s="1"/>
  <c r="V131" i="15"/>
  <c r="W131" i="15"/>
  <c r="V65" i="15"/>
  <c r="W65" i="15" s="1"/>
  <c r="AB125" i="15"/>
  <c r="AC125" i="15"/>
  <c r="J484" i="15"/>
  <c r="U128" i="15"/>
  <c r="W128" i="15"/>
  <c r="I528" i="15"/>
  <c r="X169" i="15"/>
  <c r="U126" i="15"/>
  <c r="I534" i="15"/>
  <c r="X175" i="15"/>
  <c r="Z175" i="15" s="1"/>
  <c r="AA175" i="15" s="1"/>
  <c r="Y175" i="15"/>
  <c r="AJ132" i="15"/>
  <c r="AK132" i="15"/>
  <c r="L491" i="15"/>
  <c r="X115" i="15"/>
  <c r="Y115" i="15" s="1"/>
  <c r="I474" i="15"/>
  <c r="I529" i="15"/>
  <c r="X170" i="15"/>
  <c r="Z170" i="15" s="1"/>
  <c r="AA170" i="15" s="1"/>
  <c r="I504" i="15"/>
  <c r="X145" i="15"/>
  <c r="Y145" i="15" s="1"/>
  <c r="X172" i="15"/>
  <c r="I531" i="15"/>
  <c r="I527" i="15"/>
  <c r="X168" i="15"/>
  <c r="Y168" i="15"/>
  <c r="U148" i="15"/>
  <c r="V148" i="15"/>
  <c r="W148" i="15" s="1"/>
  <c r="X133" i="15"/>
  <c r="I492" i="15"/>
  <c r="U152" i="15"/>
  <c r="V152" i="15"/>
  <c r="W152" i="15" s="1"/>
  <c r="X154" i="15"/>
  <c r="Y154" i="15" s="1"/>
  <c r="I513" i="15"/>
  <c r="V171" i="15"/>
  <c r="W171" i="15" s="1"/>
  <c r="X149" i="15"/>
  <c r="I508" i="15"/>
  <c r="X153" i="15"/>
  <c r="I512" i="15"/>
  <c r="AF151" i="15"/>
  <c r="AG151" i="15"/>
  <c r="K510" i="15"/>
  <c r="U166" i="15"/>
  <c r="W166" i="15"/>
  <c r="T129" i="15"/>
  <c r="H488" i="15"/>
  <c r="I533" i="15"/>
  <c r="X174" i="15"/>
  <c r="I487" i="15"/>
  <c r="X128" i="15"/>
  <c r="Y128" i="15" s="1"/>
  <c r="I505" i="15"/>
  <c r="X146" i="15"/>
  <c r="Y146" i="15"/>
  <c r="Z125" i="15"/>
  <c r="AA125" i="15"/>
  <c r="X147" i="15"/>
  <c r="I506" i="15"/>
  <c r="U168" i="15"/>
  <c r="T122" i="15"/>
  <c r="H481" i="15"/>
  <c r="I475" i="15"/>
  <c r="X116" i="15"/>
  <c r="Y116" i="15"/>
  <c r="X123" i="15"/>
  <c r="Y123" i="15"/>
  <c r="I482" i="15"/>
  <c r="X150" i="15"/>
  <c r="I509" i="15"/>
  <c r="AJ119" i="15"/>
  <c r="AK119" i="15" s="1"/>
  <c r="L478" i="15"/>
  <c r="I526" i="15"/>
  <c r="X167" i="15"/>
  <c r="Y167" i="15" s="1"/>
  <c r="I525" i="15"/>
  <c r="X166" i="15"/>
  <c r="X127" i="15"/>
  <c r="I486" i="15"/>
  <c r="K476" i="15"/>
  <c r="AF117" i="15"/>
  <c r="AH117" i="15" s="1"/>
  <c r="AI117" i="15" s="1"/>
  <c r="AG117" i="15"/>
  <c r="U174" i="15"/>
  <c r="V174" i="15"/>
  <c r="W174" i="15"/>
  <c r="AJ124" i="15"/>
  <c r="AK124" i="15"/>
  <c r="L483" i="15"/>
  <c r="V170" i="15"/>
  <c r="W170" i="15" s="1"/>
  <c r="U170" i="15"/>
  <c r="V169" i="15"/>
  <c r="W169" i="15" s="1"/>
  <c r="U169" i="15"/>
  <c r="V147" i="15"/>
  <c r="W147" i="15"/>
  <c r="U147" i="15"/>
  <c r="I485" i="15"/>
  <c r="X126" i="15"/>
  <c r="X130" i="15"/>
  <c r="Y130" i="15"/>
  <c r="I489" i="15"/>
  <c r="X148" i="15"/>
  <c r="I507" i="15"/>
  <c r="I479" i="15"/>
  <c r="X120" i="15"/>
  <c r="Z120" i="15" s="1"/>
  <c r="AA120" i="15" s="1"/>
  <c r="X121" i="15"/>
  <c r="Y121" i="15"/>
  <c r="I480" i="15"/>
  <c r="X131" i="15"/>
  <c r="I490" i="15"/>
  <c r="I511" i="15"/>
  <c r="X152" i="15"/>
  <c r="I530" i="15"/>
  <c r="X171" i="15"/>
  <c r="U150" i="15"/>
  <c r="V150" i="15"/>
  <c r="W150" i="15" s="1"/>
  <c r="U149" i="15"/>
  <c r="V149" i="15"/>
  <c r="W149" i="15"/>
  <c r="AB118" i="15"/>
  <c r="AC118" i="15"/>
  <c r="J477" i="15"/>
  <c r="H515" i="15"/>
  <c r="T156" i="15"/>
  <c r="X162" i="15"/>
  <c r="Y162" i="15"/>
  <c r="I521" i="15"/>
  <c r="X160" i="15"/>
  <c r="Y160" i="15"/>
  <c r="I519" i="15"/>
  <c r="V159" i="15"/>
  <c r="W159" i="15" s="1"/>
  <c r="I518" i="15"/>
  <c r="X159" i="15"/>
  <c r="Y159" i="15"/>
  <c r="H523" i="15"/>
  <c r="T164" i="15"/>
  <c r="I516" i="15"/>
  <c r="X157" i="15"/>
  <c r="H517" i="15"/>
  <c r="T158" i="15"/>
  <c r="X165" i="15"/>
  <c r="Y165" i="15"/>
  <c r="I524" i="15"/>
  <c r="I522" i="15"/>
  <c r="X163" i="15"/>
  <c r="Y163" i="15"/>
  <c r="I520" i="15"/>
  <c r="I535" i="15" s="1"/>
  <c r="I176" i="15" s="1"/>
  <c r="X161" i="15"/>
  <c r="I500" i="15"/>
  <c r="X141" i="15"/>
  <c r="Z141" i="15" s="1"/>
  <c r="Y141" i="15"/>
  <c r="I496" i="15"/>
  <c r="X137" i="15"/>
  <c r="H497" i="15"/>
  <c r="T138" i="15"/>
  <c r="I498" i="15"/>
  <c r="X139" i="15"/>
  <c r="Y139" i="15"/>
  <c r="I499" i="15"/>
  <c r="X140" i="15"/>
  <c r="Y140" i="15"/>
  <c r="X143" i="15"/>
  <c r="I502" i="15"/>
  <c r="I501" i="15"/>
  <c r="X142" i="15"/>
  <c r="Y142" i="15"/>
  <c r="I503" i="15"/>
  <c r="X144" i="15"/>
  <c r="Y144" i="15"/>
  <c r="H453" i="15"/>
  <c r="T94" i="15"/>
  <c r="U94" i="15" s="1"/>
  <c r="Z101" i="15"/>
  <c r="AA101" i="15"/>
  <c r="I469" i="15"/>
  <c r="X110" i="15"/>
  <c r="Y110" i="15" s="1"/>
  <c r="I463" i="15"/>
  <c r="X104" i="15"/>
  <c r="Y104" i="15" s="1"/>
  <c r="X96" i="15"/>
  <c r="Y96" i="15"/>
  <c r="I455" i="15"/>
  <c r="U108" i="15"/>
  <c r="V108" i="15"/>
  <c r="W108" i="15" s="1"/>
  <c r="AB101" i="15"/>
  <c r="AC101" i="15" s="1"/>
  <c r="J460" i="15"/>
  <c r="X95" i="15"/>
  <c r="I454" i="15"/>
  <c r="X103" i="15"/>
  <c r="Y103" i="15"/>
  <c r="I462" i="15"/>
  <c r="X102" i="15"/>
  <c r="I461" i="15"/>
  <c r="AB98" i="15"/>
  <c r="AC98" i="15" s="1"/>
  <c r="J457" i="15"/>
  <c r="X97" i="15"/>
  <c r="I456" i="15"/>
  <c r="X106" i="15"/>
  <c r="Y106" i="15" s="1"/>
  <c r="I465" i="15"/>
  <c r="I467" i="15"/>
  <c r="X108" i="15"/>
  <c r="Z108" i="15" s="1"/>
  <c r="AA108" i="15" s="1"/>
  <c r="X113" i="15"/>
  <c r="Y113" i="15" s="1"/>
  <c r="I472" i="15"/>
  <c r="I471" i="15"/>
  <c r="X112" i="15"/>
  <c r="Y112" i="15" s="1"/>
  <c r="I459" i="15"/>
  <c r="X100" i="15"/>
  <c r="V107" i="15"/>
  <c r="W107" i="15" s="1"/>
  <c r="U106" i="15"/>
  <c r="V106" i="15"/>
  <c r="W106" i="15" s="1"/>
  <c r="X107" i="15"/>
  <c r="I466" i="15"/>
  <c r="X99" i="15"/>
  <c r="Y99" i="15" s="1"/>
  <c r="I458" i="15"/>
  <c r="T111" i="15"/>
  <c r="U111" i="15" s="1"/>
  <c r="H470" i="15"/>
  <c r="T105" i="15"/>
  <c r="H464" i="15"/>
  <c r="X109" i="15"/>
  <c r="I468" i="15"/>
  <c r="Q64" i="15"/>
  <c r="I434" i="15"/>
  <c r="X75" i="15"/>
  <c r="U66" i="15"/>
  <c r="X61" i="15"/>
  <c r="Y61" i="15" s="1"/>
  <c r="I420" i="15"/>
  <c r="U76" i="15"/>
  <c r="U75" i="15"/>
  <c r="V75" i="15"/>
  <c r="W75" i="15" s="1"/>
  <c r="I424" i="15"/>
  <c r="X65" i="15"/>
  <c r="Y65" i="15"/>
  <c r="X77" i="15"/>
  <c r="Y77" i="15" s="1"/>
  <c r="I436" i="15"/>
  <c r="X71" i="15"/>
  <c r="Z71" i="15" s="1"/>
  <c r="AA71" i="15" s="1"/>
  <c r="I430" i="15"/>
  <c r="U60" i="15"/>
  <c r="V60" i="15"/>
  <c r="W60" i="15" s="1"/>
  <c r="I423" i="15"/>
  <c r="X64" i="15"/>
  <c r="Z64" i="15" s="1"/>
  <c r="AA64" i="15" s="1"/>
  <c r="X66" i="15"/>
  <c r="Y66" i="15" s="1"/>
  <c r="I425" i="15"/>
  <c r="I429" i="15"/>
  <c r="X70" i="15"/>
  <c r="X73" i="15"/>
  <c r="I432" i="15"/>
  <c r="I426" i="15"/>
  <c r="X67" i="15"/>
  <c r="Y67" i="15" s="1"/>
  <c r="U61" i="15"/>
  <c r="V61" i="15"/>
  <c r="W61" i="15"/>
  <c r="I427" i="15"/>
  <c r="X68" i="15"/>
  <c r="Y68" i="15" s="1"/>
  <c r="U77" i="15"/>
  <c r="V77" i="15"/>
  <c r="W77" i="15" s="1"/>
  <c r="X62" i="15"/>
  <c r="I421" i="15"/>
  <c r="V64" i="15"/>
  <c r="W64" i="15" s="1"/>
  <c r="I435" i="15"/>
  <c r="X76" i="15"/>
  <c r="I419" i="15"/>
  <c r="X60" i="15"/>
  <c r="Y60" i="15" s="1"/>
  <c r="I431" i="15"/>
  <c r="X72" i="15"/>
  <c r="Y72" i="15" s="1"/>
  <c r="I428" i="15"/>
  <c r="X69" i="15"/>
  <c r="X74" i="15"/>
  <c r="I433" i="15"/>
  <c r="I422" i="15"/>
  <c r="X63" i="15"/>
  <c r="V116" i="15"/>
  <c r="W116" i="15" s="1"/>
  <c r="H605" i="15"/>
  <c r="T248" i="15"/>
  <c r="P259" i="15"/>
  <c r="R259" i="15" s="1"/>
  <c r="S259" i="15" s="1"/>
  <c r="G616" i="15"/>
  <c r="H614" i="15"/>
  <c r="T257" i="15"/>
  <c r="P253" i="15"/>
  <c r="Q253" i="15" s="1"/>
  <c r="G610" i="15"/>
  <c r="R248" i="15"/>
  <c r="S248" i="15"/>
  <c r="Q248" i="15"/>
  <c r="P242" i="15"/>
  <c r="G599" i="15"/>
  <c r="Z124" i="15"/>
  <c r="Z151" i="15"/>
  <c r="H633" i="15"/>
  <c r="T276" i="15"/>
  <c r="V276" i="15" s="1"/>
  <c r="W276" i="15" s="1"/>
  <c r="H636" i="15"/>
  <c r="T279" i="15"/>
  <c r="R301" i="15"/>
  <c r="S301" i="15"/>
  <c r="X258" i="15"/>
  <c r="I615" i="15"/>
  <c r="Q273" i="15"/>
  <c r="R273" i="15"/>
  <c r="S273" i="15" s="1"/>
  <c r="R300" i="15"/>
  <c r="S300" i="15"/>
  <c r="Q300" i="15"/>
  <c r="T278" i="15"/>
  <c r="H635" i="15"/>
  <c r="R280" i="15"/>
  <c r="S280" i="15"/>
  <c r="Q280" i="15"/>
  <c r="Q271" i="15"/>
  <c r="R271" i="15"/>
  <c r="S271" i="15"/>
  <c r="P247" i="15"/>
  <c r="G604" i="15"/>
  <c r="H656" i="15"/>
  <c r="T299" i="15"/>
  <c r="Q296" i="15"/>
  <c r="T298" i="15"/>
  <c r="V298" i="15" s="1"/>
  <c r="W298" i="15" s="1"/>
  <c r="H655" i="15"/>
  <c r="R251" i="15"/>
  <c r="S251" i="15"/>
  <c r="Q251" i="15"/>
  <c r="H654" i="15"/>
  <c r="T297" i="15"/>
  <c r="R276" i="15"/>
  <c r="S276" i="15"/>
  <c r="Q276" i="15"/>
  <c r="T252" i="15"/>
  <c r="H609" i="15"/>
  <c r="U254" i="15"/>
  <c r="V254" i="15"/>
  <c r="W254" i="15" s="1"/>
  <c r="U258" i="15"/>
  <c r="V258" i="15"/>
  <c r="W258" i="15"/>
  <c r="X245" i="15"/>
  <c r="I602" i="15"/>
  <c r="R295" i="15"/>
  <c r="S295" i="15" s="1"/>
  <c r="Q295" i="15"/>
  <c r="V118" i="15"/>
  <c r="W118" i="15"/>
  <c r="R299" i="15"/>
  <c r="S299" i="15"/>
  <c r="Q299" i="15"/>
  <c r="Z173" i="15"/>
  <c r="AA173" i="15" s="1"/>
  <c r="T243" i="15"/>
  <c r="H600" i="15"/>
  <c r="H608" i="15"/>
  <c r="T251" i="15"/>
  <c r="R297" i="15"/>
  <c r="S297" i="15"/>
  <c r="Q297" i="15"/>
  <c r="R274" i="15"/>
  <c r="S274" i="15"/>
  <c r="Q274" i="15"/>
  <c r="H629" i="15"/>
  <c r="T272" i="15"/>
  <c r="AB240" i="15"/>
  <c r="J597" i="15"/>
  <c r="AG255" i="15"/>
  <c r="AH255" i="15"/>
  <c r="AI255" i="15" s="1"/>
  <c r="H658" i="15"/>
  <c r="T301" i="15"/>
  <c r="Z123" i="15"/>
  <c r="AA123" i="15" s="1"/>
  <c r="H630" i="15"/>
  <c r="T273" i="15"/>
  <c r="V121" i="15"/>
  <c r="W121" i="15" s="1"/>
  <c r="H628" i="15"/>
  <c r="T271" i="15"/>
  <c r="R294" i="15"/>
  <c r="S294" i="15"/>
  <c r="Q294" i="15"/>
  <c r="R292" i="15"/>
  <c r="S292" i="15"/>
  <c r="Q292" i="15"/>
  <c r="H650" i="15"/>
  <c r="T293" i="15"/>
  <c r="T296" i="15"/>
  <c r="H653" i="15"/>
  <c r="W167" i="15"/>
  <c r="Q277" i="15"/>
  <c r="R277" i="15"/>
  <c r="S277" i="15"/>
  <c r="P256" i="15"/>
  <c r="G613" i="15"/>
  <c r="U249" i="15"/>
  <c r="Q272" i="15"/>
  <c r="G570" i="15"/>
  <c r="P213" i="15"/>
  <c r="R213" i="15" s="1"/>
  <c r="S213" i="15" s="1"/>
  <c r="V130" i="15"/>
  <c r="W130" i="15"/>
  <c r="X254" i="15"/>
  <c r="Y254" i="15" s="1"/>
  <c r="I611" i="15"/>
  <c r="R279" i="15"/>
  <c r="S279" i="15"/>
  <c r="Q279" i="15"/>
  <c r="I606" i="15"/>
  <c r="X249" i="15"/>
  <c r="AJ255" i="15"/>
  <c r="AK255" i="15" s="1"/>
  <c r="L612" i="15"/>
  <c r="AJ244" i="15"/>
  <c r="L601" i="15"/>
  <c r="V245" i="15"/>
  <c r="W245" i="15"/>
  <c r="U245" i="15"/>
  <c r="H632" i="15"/>
  <c r="T275" i="15"/>
  <c r="H652" i="15"/>
  <c r="T295" i="15"/>
  <c r="V295" i="15" s="1"/>
  <c r="W295" i="15" s="1"/>
  <c r="T300" i="15"/>
  <c r="H657" i="15"/>
  <c r="Q278" i="15"/>
  <c r="R278" i="15"/>
  <c r="S278" i="15" s="1"/>
  <c r="H637" i="15"/>
  <c r="T280" i="15"/>
  <c r="V280" i="15" s="1"/>
  <c r="W280" i="15" s="1"/>
  <c r="T294" i="15"/>
  <c r="H651" i="15"/>
  <c r="T292" i="15"/>
  <c r="H649" i="15"/>
  <c r="R293" i="15"/>
  <c r="S293" i="15" s="1"/>
  <c r="Q293" i="15"/>
  <c r="Q298" i="15"/>
  <c r="G607" i="15"/>
  <c r="P250" i="15"/>
  <c r="Q250" i="15" s="1"/>
  <c r="T277" i="15"/>
  <c r="H634" i="15"/>
  <c r="V154" i="15"/>
  <c r="W154" i="15"/>
  <c r="T274" i="15"/>
  <c r="H631" i="15"/>
  <c r="G644" i="15"/>
  <c r="P287" i="15"/>
  <c r="R285" i="15"/>
  <c r="S285" i="15"/>
  <c r="Q285" i="15"/>
  <c r="Q286" i="15"/>
  <c r="R286" i="15"/>
  <c r="S286" i="15"/>
  <c r="V161" i="15"/>
  <c r="V157" i="15"/>
  <c r="W157" i="15"/>
  <c r="T291" i="15"/>
  <c r="U291" i="15" s="1"/>
  <c r="H648" i="15"/>
  <c r="R282" i="15"/>
  <c r="S282" i="15"/>
  <c r="Q282" i="15"/>
  <c r="G645" i="15"/>
  <c r="P288" i="15"/>
  <c r="Q290" i="15"/>
  <c r="R290" i="15"/>
  <c r="S290" i="15"/>
  <c r="Q291" i="15"/>
  <c r="R291" i="15"/>
  <c r="S291" i="15"/>
  <c r="H643" i="15"/>
  <c r="T286" i="15"/>
  <c r="H642" i="15"/>
  <c r="T285" i="15"/>
  <c r="U285" i="15" s="1"/>
  <c r="G641" i="15"/>
  <c r="G659" i="15" s="1"/>
  <c r="G302" i="15" s="1"/>
  <c r="P302" i="15" s="1"/>
  <c r="P284" i="15"/>
  <c r="G640" i="15"/>
  <c r="P283" i="15"/>
  <c r="H639" i="15"/>
  <c r="H659" i="15" s="1"/>
  <c r="H302" i="15" s="1"/>
  <c r="T302" i="15" s="1"/>
  <c r="T282" i="15"/>
  <c r="V282" i="15" s="1"/>
  <c r="H647" i="15"/>
  <c r="T290" i="15"/>
  <c r="V162" i="15"/>
  <c r="W162" i="15" s="1"/>
  <c r="T289" i="15"/>
  <c r="H646" i="15"/>
  <c r="V110" i="15"/>
  <c r="W110" i="15" s="1"/>
  <c r="Z96" i="15"/>
  <c r="AA96" i="15" s="1"/>
  <c r="G595" i="15"/>
  <c r="P238" i="15"/>
  <c r="R238" i="15" s="1"/>
  <c r="P230" i="15"/>
  <c r="G587" i="15"/>
  <c r="R229" i="15"/>
  <c r="S229" i="15"/>
  <c r="Q229" i="15"/>
  <c r="T222" i="15"/>
  <c r="U222" i="15" s="1"/>
  <c r="H579" i="15"/>
  <c r="X231" i="15"/>
  <c r="I588" i="15"/>
  <c r="T225" i="15"/>
  <c r="H582" i="15"/>
  <c r="P235" i="15"/>
  <c r="G592" i="15"/>
  <c r="H586" i="15"/>
  <c r="T229" i="15"/>
  <c r="R237" i="15"/>
  <c r="S237" i="15"/>
  <c r="Q237" i="15"/>
  <c r="H594" i="15"/>
  <c r="T237" i="15"/>
  <c r="U237" i="15" s="1"/>
  <c r="P234" i="15"/>
  <c r="G591" i="15"/>
  <c r="U231" i="15"/>
  <c r="V231" i="15"/>
  <c r="W231" i="15"/>
  <c r="P220" i="15"/>
  <c r="G577" i="15"/>
  <c r="G583" i="15"/>
  <c r="P226" i="15"/>
  <c r="G596" i="15"/>
  <c r="P239" i="15"/>
  <c r="V72" i="15"/>
  <c r="W72" i="15" s="1"/>
  <c r="T188" i="15"/>
  <c r="U188" i="15" s="1"/>
  <c r="H545" i="15"/>
  <c r="T196" i="15"/>
  <c r="H553" i="15"/>
  <c r="R201" i="15"/>
  <c r="S201" i="15" s="1"/>
  <c r="Q201" i="15"/>
  <c r="T193" i="15"/>
  <c r="H550" i="15"/>
  <c r="T197" i="15"/>
  <c r="U197" i="15" s="1"/>
  <c r="H554" i="15"/>
  <c r="T200" i="15"/>
  <c r="H557" i="15"/>
  <c r="T201" i="15"/>
  <c r="H558" i="15"/>
  <c r="T189" i="15"/>
  <c r="H546" i="15"/>
  <c r="R186" i="15"/>
  <c r="S186" i="15"/>
  <c r="Q186" i="15"/>
  <c r="R198" i="15"/>
  <c r="S198" i="15"/>
  <c r="Q198" i="15"/>
  <c r="T203" i="15"/>
  <c r="H560" i="15"/>
  <c r="Z68" i="15"/>
  <c r="AA68" i="15"/>
  <c r="T202" i="15"/>
  <c r="H559" i="15"/>
  <c r="T194" i="15"/>
  <c r="U194" i="15" s="1"/>
  <c r="H551" i="15"/>
  <c r="T191" i="15"/>
  <c r="H548" i="15"/>
  <c r="R199" i="15"/>
  <c r="S199" i="15"/>
  <c r="Q199" i="15"/>
  <c r="T190" i="15"/>
  <c r="H547" i="15"/>
  <c r="R189" i="15"/>
  <c r="S189" i="15" s="1"/>
  <c r="Q189" i="15"/>
  <c r="T199" i="15"/>
  <c r="H556" i="15"/>
  <c r="Q203" i="15"/>
  <c r="R203" i="15"/>
  <c r="S203" i="15" s="1"/>
  <c r="R200" i="15"/>
  <c r="S200" i="15"/>
  <c r="Q200" i="15"/>
  <c r="T192" i="15"/>
  <c r="H549" i="15"/>
  <c r="R194" i="15"/>
  <c r="S194" i="15" s="1"/>
  <c r="Q194" i="15"/>
  <c r="H544" i="15"/>
  <c r="T187" i="15"/>
  <c r="T195" i="15"/>
  <c r="H552" i="15"/>
  <c r="R192" i="15"/>
  <c r="S192" i="15"/>
  <c r="Q192" i="15"/>
  <c r="S188" i="15"/>
  <c r="Q188" i="15"/>
  <c r="T186" i="15"/>
  <c r="H543" i="15"/>
  <c r="R196" i="15"/>
  <c r="S196" i="15"/>
  <c r="T198" i="15"/>
  <c r="H555" i="15"/>
  <c r="Q190" i="15"/>
  <c r="Q187" i="15"/>
  <c r="R187" i="15"/>
  <c r="S187" i="15" s="1"/>
  <c r="Q195" i="15"/>
  <c r="R195" i="15"/>
  <c r="S195" i="15" s="1"/>
  <c r="S193" i="15"/>
  <c r="Q193" i="15"/>
  <c r="Q197" i="15"/>
  <c r="R197" i="15"/>
  <c r="S197" i="15"/>
  <c r="Q202" i="15"/>
  <c r="R202" i="15"/>
  <c r="S202" i="15"/>
  <c r="Z65" i="15"/>
  <c r="AA65" i="15"/>
  <c r="R191" i="15"/>
  <c r="S191" i="15"/>
  <c r="Q191" i="15"/>
  <c r="AD101" i="15"/>
  <c r="AE101" i="15" s="1"/>
  <c r="H581" i="15"/>
  <c r="T224" i="15"/>
  <c r="H578" i="15"/>
  <c r="T221" i="15"/>
  <c r="U221" i="15" s="1"/>
  <c r="H585" i="15"/>
  <c r="T228" i="15"/>
  <c r="R232" i="15"/>
  <c r="S232" i="15"/>
  <c r="T233" i="15"/>
  <c r="H590" i="15"/>
  <c r="Z99" i="15"/>
  <c r="AA99" i="15" s="1"/>
  <c r="H593" i="15"/>
  <c r="T236" i="15"/>
  <c r="U236" i="15" s="1"/>
  <c r="R228" i="15"/>
  <c r="S228" i="15"/>
  <c r="Q228" i="15"/>
  <c r="T232" i="15"/>
  <c r="H589" i="15"/>
  <c r="R224" i="15"/>
  <c r="S224" i="15"/>
  <c r="Q224" i="15"/>
  <c r="Q221" i="15"/>
  <c r="R221" i="15"/>
  <c r="S221" i="15" s="1"/>
  <c r="P270" i="15"/>
  <c r="G627" i="15"/>
  <c r="V144" i="15"/>
  <c r="W144" i="15" s="1"/>
  <c r="H626" i="15"/>
  <c r="T269" i="15"/>
  <c r="R269" i="15"/>
  <c r="S269" i="15" s="1"/>
  <c r="Q269" i="15"/>
  <c r="G625" i="15"/>
  <c r="P268" i="15"/>
  <c r="V142" i="15"/>
  <c r="W142" i="15" s="1"/>
  <c r="T267" i="15"/>
  <c r="H624" i="15"/>
  <c r="R267" i="15"/>
  <c r="S267" i="15" s="1"/>
  <c r="Q267" i="15"/>
  <c r="G623" i="15"/>
  <c r="P266" i="15"/>
  <c r="V140" i="15"/>
  <c r="W140" i="15"/>
  <c r="N265" i="15"/>
  <c r="O265" i="15"/>
  <c r="F622" i="15"/>
  <c r="G621" i="15"/>
  <c r="P264" i="15"/>
  <c r="R264" i="15" s="1"/>
  <c r="S264" i="15" s="1"/>
  <c r="T263" i="15"/>
  <c r="H620" i="15"/>
  <c r="R263" i="15"/>
  <c r="S263" i="15" s="1"/>
  <c r="Q263" i="15"/>
  <c r="C60" i="13"/>
  <c r="I21" i="15"/>
  <c r="I57" i="15" s="1"/>
  <c r="J26" i="19" s="1"/>
  <c r="J46" i="19" s="1"/>
  <c r="C50" i="13"/>
  <c r="C87" i="13"/>
  <c r="C74" i="13"/>
  <c r="C49" i="13"/>
  <c r="Z159" i="15"/>
  <c r="AA159" i="15" s="1"/>
  <c r="Z163" i="15"/>
  <c r="AA163" i="15"/>
  <c r="V94" i="15"/>
  <c r="W94" i="15" s="1"/>
  <c r="AF118" i="15"/>
  <c r="AG118" i="15" s="1"/>
  <c r="K477" i="15"/>
  <c r="AB121" i="15"/>
  <c r="AC121" i="15"/>
  <c r="J480" i="15"/>
  <c r="J507" i="15"/>
  <c r="AB148" i="15"/>
  <c r="AC148" i="15" s="1"/>
  <c r="Y126" i="15"/>
  <c r="Z126" i="15"/>
  <c r="AA126" i="15"/>
  <c r="Y166" i="15"/>
  <c r="Z166" i="15"/>
  <c r="AA166" i="15" s="1"/>
  <c r="AB150" i="15"/>
  <c r="J509" i="15"/>
  <c r="J475" i="15"/>
  <c r="AB116" i="15"/>
  <c r="AC116" i="15" s="1"/>
  <c r="Z168" i="15"/>
  <c r="AA168" i="15" s="1"/>
  <c r="Y147" i="15"/>
  <c r="Z147" i="15"/>
  <c r="AA147" i="15" s="1"/>
  <c r="AD125" i="15"/>
  <c r="AE125" i="15"/>
  <c r="AB146" i="15"/>
  <c r="AC146" i="15" s="1"/>
  <c r="J505" i="15"/>
  <c r="AB128" i="15"/>
  <c r="J487" i="15"/>
  <c r="J512" i="15"/>
  <c r="AB153" i="15"/>
  <c r="AC153" i="15"/>
  <c r="J531" i="15"/>
  <c r="AB172" i="15"/>
  <c r="J504" i="15"/>
  <c r="AB145" i="15"/>
  <c r="AB169" i="15"/>
  <c r="J528" i="15"/>
  <c r="J530" i="15"/>
  <c r="AB171" i="15"/>
  <c r="AB131" i="15"/>
  <c r="AC131" i="15"/>
  <c r="J490" i="15"/>
  <c r="Y120" i="15"/>
  <c r="AJ117" i="15"/>
  <c r="AK117" i="15" s="1"/>
  <c r="L476" i="15"/>
  <c r="AB123" i="15"/>
  <c r="AC123" i="15"/>
  <c r="J482" i="15"/>
  <c r="J492" i="15"/>
  <c r="AB133" i="15"/>
  <c r="AC133" i="15"/>
  <c r="Y172" i="15"/>
  <c r="Z172" i="15"/>
  <c r="AA172" i="15" s="1"/>
  <c r="AB170" i="15"/>
  <c r="J529" i="15"/>
  <c r="Y169" i="15"/>
  <c r="Z169" i="15"/>
  <c r="AA169" i="15" s="1"/>
  <c r="AF125" i="15"/>
  <c r="K484" i="15"/>
  <c r="Y171" i="15"/>
  <c r="Z171" i="15"/>
  <c r="AA171" i="15" s="1"/>
  <c r="J511" i="15"/>
  <c r="AB152" i="15"/>
  <c r="AC152" i="15" s="1"/>
  <c r="AB120" i="15"/>
  <c r="J479" i="15"/>
  <c r="J485" i="15"/>
  <c r="AB126" i="15"/>
  <c r="AB127" i="15"/>
  <c r="AC127" i="15"/>
  <c r="J486" i="15"/>
  <c r="AB166" i="15"/>
  <c r="J525" i="15"/>
  <c r="Y150" i="15"/>
  <c r="Z150" i="15"/>
  <c r="AA150" i="15" s="1"/>
  <c r="AB174" i="15"/>
  <c r="J533" i="15"/>
  <c r="AJ151" i="15"/>
  <c r="AK151" i="15"/>
  <c r="L510" i="15"/>
  <c r="Y149" i="15"/>
  <c r="Z149" i="15"/>
  <c r="AA149" i="15"/>
  <c r="AB154" i="15"/>
  <c r="AC154" i="15"/>
  <c r="J513" i="15"/>
  <c r="J527" i="15"/>
  <c r="AB168" i="15"/>
  <c r="AC168" i="15" s="1"/>
  <c r="Y170" i="15"/>
  <c r="AB115" i="15"/>
  <c r="J474" i="15"/>
  <c r="Z167" i="15"/>
  <c r="AA167" i="15" s="1"/>
  <c r="Y148" i="15"/>
  <c r="Z148" i="15"/>
  <c r="AA148" i="15"/>
  <c r="AB130" i="15"/>
  <c r="AD130" i="15" s="1"/>
  <c r="AC130" i="15"/>
  <c r="J489" i="15"/>
  <c r="J526" i="15"/>
  <c r="AB167" i="15"/>
  <c r="AD167" i="15" s="1"/>
  <c r="AC167" i="15"/>
  <c r="X122" i="15"/>
  <c r="Y122" i="15"/>
  <c r="I481" i="15"/>
  <c r="J506" i="15"/>
  <c r="AB147" i="15"/>
  <c r="Z128" i="15"/>
  <c r="AA128" i="15"/>
  <c r="Y174" i="15"/>
  <c r="Z174" i="15"/>
  <c r="AA174" i="15"/>
  <c r="I488" i="15"/>
  <c r="X129" i="15"/>
  <c r="AB149" i="15"/>
  <c r="J508" i="15"/>
  <c r="AB175" i="15"/>
  <c r="AC175" i="15"/>
  <c r="J534" i="15"/>
  <c r="AB165" i="15"/>
  <c r="J524" i="15"/>
  <c r="U156" i="15"/>
  <c r="V156" i="15"/>
  <c r="W156" i="15" s="1"/>
  <c r="X158" i="15"/>
  <c r="Y158" i="15"/>
  <c r="I517" i="15"/>
  <c r="AB160" i="15"/>
  <c r="AC160" i="15"/>
  <c r="J519" i="15"/>
  <c r="AB161" i="15"/>
  <c r="AC161" i="15" s="1"/>
  <c r="J520" i="15"/>
  <c r="J516" i="15"/>
  <c r="AB157" i="15"/>
  <c r="I523" i="15"/>
  <c r="X164" i="15"/>
  <c r="Z164" i="15" s="1"/>
  <c r="AA164" i="15" s="1"/>
  <c r="J522" i="15"/>
  <c r="AB163" i="15"/>
  <c r="AC163" i="15"/>
  <c r="U164" i="15"/>
  <c r="V164" i="15"/>
  <c r="W164" i="15" s="1"/>
  <c r="AB159" i="15"/>
  <c r="AC159" i="15"/>
  <c r="J518" i="15"/>
  <c r="Z165" i="15"/>
  <c r="AA165" i="15"/>
  <c r="J521" i="15"/>
  <c r="AB162" i="15"/>
  <c r="AC162" i="15" s="1"/>
  <c r="I515" i="15"/>
  <c r="X156" i="15"/>
  <c r="Y156" i="15" s="1"/>
  <c r="Y137" i="15"/>
  <c r="Z137" i="15"/>
  <c r="AA137" i="15" s="1"/>
  <c r="J503" i="15"/>
  <c r="AB144" i="15"/>
  <c r="AC144" i="15"/>
  <c r="AB139" i="15"/>
  <c r="AC139" i="15"/>
  <c r="J498" i="15"/>
  <c r="J500" i="15"/>
  <c r="AB141" i="15"/>
  <c r="AC141" i="15"/>
  <c r="J496" i="15"/>
  <c r="AB137" i="15"/>
  <c r="J501" i="15"/>
  <c r="AB142" i="15"/>
  <c r="AC142" i="15"/>
  <c r="J502" i="15"/>
  <c r="AB143" i="15"/>
  <c r="J499" i="15"/>
  <c r="AB140" i="15"/>
  <c r="AC140" i="15" s="1"/>
  <c r="I497" i="15"/>
  <c r="X138" i="15"/>
  <c r="Y138" i="15" s="1"/>
  <c r="X94" i="15"/>
  <c r="Y94" i="15" s="1"/>
  <c r="I453" i="15"/>
  <c r="Z103" i="15"/>
  <c r="AA103" i="15" s="1"/>
  <c r="J469" i="15"/>
  <c r="AB110" i="15"/>
  <c r="AC110" i="15" s="1"/>
  <c r="V105" i="15"/>
  <c r="W105" i="15" s="1"/>
  <c r="U105" i="15"/>
  <c r="X111" i="15"/>
  <c r="I470" i="15"/>
  <c r="AB112" i="15"/>
  <c r="AC112" i="15" s="1"/>
  <c r="J471" i="15"/>
  <c r="Y108" i="15"/>
  <c r="AB97" i="15"/>
  <c r="AC97" i="15" s="1"/>
  <c r="J456" i="15"/>
  <c r="J455" i="15"/>
  <c r="AB96" i="15"/>
  <c r="X105" i="15"/>
  <c r="I464" i="15"/>
  <c r="AB108" i="15"/>
  <c r="AD108" i="15" s="1"/>
  <c r="AE108" i="15" s="1"/>
  <c r="J467" i="15"/>
  <c r="AB106" i="15"/>
  <c r="J465" i="15"/>
  <c r="AB104" i="15"/>
  <c r="AC104" i="15" s="1"/>
  <c r="J463" i="15"/>
  <c r="AB113" i="15"/>
  <c r="AC113" i="15" s="1"/>
  <c r="J472" i="15"/>
  <c r="AB102" i="15"/>
  <c r="AC102" i="15" s="1"/>
  <c r="J461" i="15"/>
  <c r="AB95" i="15"/>
  <c r="AC95" i="15" s="1"/>
  <c r="J454" i="15"/>
  <c r="AB109" i="15"/>
  <c r="AC109" i="15" s="1"/>
  <c r="J468" i="15"/>
  <c r="Z106" i="15"/>
  <c r="AA106" i="15" s="1"/>
  <c r="AB100" i="15"/>
  <c r="AC100" i="15" s="1"/>
  <c r="J459" i="15"/>
  <c r="AF101" i="15"/>
  <c r="K460" i="15"/>
  <c r="AB99" i="15"/>
  <c r="AC99" i="15" s="1"/>
  <c r="J458" i="15"/>
  <c r="AB107" i="15"/>
  <c r="J466" i="15"/>
  <c r="Y97" i="15"/>
  <c r="Z97" i="15"/>
  <c r="AA97" i="15" s="1"/>
  <c r="AF98" i="15"/>
  <c r="AG98" i="15"/>
  <c r="K457" i="15"/>
  <c r="AB103" i="15"/>
  <c r="AC103" i="15" s="1"/>
  <c r="J462" i="15"/>
  <c r="AB74" i="15"/>
  <c r="J433" i="15"/>
  <c r="J428" i="15"/>
  <c r="AB69" i="15"/>
  <c r="Y76" i="15"/>
  <c r="Z76" i="15"/>
  <c r="AA76" i="15" s="1"/>
  <c r="J426" i="15"/>
  <c r="AB67" i="15"/>
  <c r="AB71" i="15"/>
  <c r="J430" i="15"/>
  <c r="J436" i="15"/>
  <c r="AB77" i="15"/>
  <c r="Z60" i="15"/>
  <c r="AA60" i="15" s="1"/>
  <c r="AB76" i="15"/>
  <c r="J435" i="15"/>
  <c r="J421" i="15"/>
  <c r="AB62" i="15"/>
  <c r="AC62" i="15" s="1"/>
  <c r="J432" i="15"/>
  <c r="AB73" i="15"/>
  <c r="Z66" i="15"/>
  <c r="AA66" i="15" s="1"/>
  <c r="AB75" i="15"/>
  <c r="AD75" i="15" s="1"/>
  <c r="J434" i="15"/>
  <c r="AB60" i="15"/>
  <c r="AC60" i="15" s="1"/>
  <c r="J419" i="15"/>
  <c r="J427" i="15"/>
  <c r="AB68" i="15"/>
  <c r="AC68" i="15" s="1"/>
  <c r="Z67" i="15"/>
  <c r="AA67" i="15" s="1"/>
  <c r="J429" i="15"/>
  <c r="AB70" i="15"/>
  <c r="Y64" i="15"/>
  <c r="Z61" i="15"/>
  <c r="AA61" i="15" s="1"/>
  <c r="J422" i="15"/>
  <c r="AB63" i="15"/>
  <c r="AB72" i="15"/>
  <c r="J431" i="15"/>
  <c r="Y62" i="15"/>
  <c r="Z62" i="15"/>
  <c r="AA62" i="15" s="1"/>
  <c r="AB66" i="15"/>
  <c r="J425" i="15"/>
  <c r="J423" i="15"/>
  <c r="AB64" i="15"/>
  <c r="Z77" i="15"/>
  <c r="AA77" i="15"/>
  <c r="J424" i="15"/>
  <c r="AB65" i="15"/>
  <c r="AC65" i="15"/>
  <c r="J420" i="15"/>
  <c r="AB61" i="15"/>
  <c r="H616" i="15"/>
  <c r="T259" i="15"/>
  <c r="H610" i="15"/>
  <c r="T253" i="15"/>
  <c r="Z132" i="15"/>
  <c r="AA132" i="15"/>
  <c r="V257" i="15"/>
  <c r="W257" i="15"/>
  <c r="U257" i="15"/>
  <c r="I605" i="15"/>
  <c r="X248" i="15"/>
  <c r="Z116" i="15"/>
  <c r="AA116" i="15" s="1"/>
  <c r="Z145" i="15"/>
  <c r="AA145" i="15" s="1"/>
  <c r="U248" i="15"/>
  <c r="V248" i="15"/>
  <c r="W248" i="15"/>
  <c r="T242" i="15"/>
  <c r="H599" i="15"/>
  <c r="R242" i="15"/>
  <c r="S242" i="15"/>
  <c r="Q242" i="15"/>
  <c r="I614" i="15"/>
  <c r="X257" i="15"/>
  <c r="Q259" i="15"/>
  <c r="T250" i="15"/>
  <c r="V250" i="15" s="1"/>
  <c r="W250" i="15" s="1"/>
  <c r="H607" i="15"/>
  <c r="X295" i="15"/>
  <c r="I652" i="15"/>
  <c r="Y249" i="15"/>
  <c r="Z249" i="15"/>
  <c r="AA249" i="15" s="1"/>
  <c r="Z130" i="15"/>
  <c r="AA130" i="15"/>
  <c r="H570" i="15"/>
  <c r="T213" i="15"/>
  <c r="U293" i="15"/>
  <c r="V293" i="15"/>
  <c r="W293" i="15"/>
  <c r="V271" i="15"/>
  <c r="W271" i="15"/>
  <c r="U271" i="15"/>
  <c r="Z121" i="15"/>
  <c r="AA121" i="15" s="1"/>
  <c r="I630" i="15"/>
  <c r="X273" i="15"/>
  <c r="Y273" i="15" s="1"/>
  <c r="U301" i="15"/>
  <c r="V301" i="15"/>
  <c r="W301" i="15" s="1"/>
  <c r="X272" i="15"/>
  <c r="I629" i="15"/>
  <c r="X243" i="15"/>
  <c r="I600" i="15"/>
  <c r="U252" i="15"/>
  <c r="V252" i="15"/>
  <c r="W252" i="15"/>
  <c r="U297" i="15"/>
  <c r="V297" i="15"/>
  <c r="W297" i="15"/>
  <c r="H604" i="15"/>
  <c r="T247" i="15"/>
  <c r="AB258" i="15"/>
  <c r="J615" i="15"/>
  <c r="U276" i="15"/>
  <c r="X277" i="15"/>
  <c r="I634" i="15"/>
  <c r="I658" i="15"/>
  <c r="X301" i="15"/>
  <c r="Z146" i="15"/>
  <c r="AA146" i="15" s="1"/>
  <c r="X252" i="15"/>
  <c r="I609" i="15"/>
  <c r="X297" i="15"/>
  <c r="I654" i="15"/>
  <c r="I656" i="15"/>
  <c r="X299" i="15"/>
  <c r="I636" i="15"/>
  <c r="X279" i="15"/>
  <c r="Y279" i="15" s="1"/>
  <c r="I633" i="15"/>
  <c r="X276" i="15"/>
  <c r="X280" i="15"/>
  <c r="I637" i="15"/>
  <c r="V292" i="15"/>
  <c r="W292" i="15"/>
  <c r="U292" i="15"/>
  <c r="Z254" i="15"/>
  <c r="AA254" i="15"/>
  <c r="I653" i="15"/>
  <c r="X296" i="15"/>
  <c r="X293" i="15"/>
  <c r="Y293" i="15" s="1"/>
  <c r="I650" i="15"/>
  <c r="X271" i="15"/>
  <c r="I628" i="15"/>
  <c r="AD123" i="15"/>
  <c r="AE123" i="15" s="1"/>
  <c r="AC240" i="15"/>
  <c r="U272" i="15"/>
  <c r="V272" i="15"/>
  <c r="W272" i="15" s="1"/>
  <c r="J602" i="15"/>
  <c r="AB245" i="15"/>
  <c r="U298" i="15"/>
  <c r="U278" i="15"/>
  <c r="V278" i="15"/>
  <c r="W278" i="15" s="1"/>
  <c r="V279" i="15"/>
  <c r="W279" i="15"/>
  <c r="U279" i="15"/>
  <c r="AA124" i="15"/>
  <c r="Z154" i="15"/>
  <c r="AA154" i="15" s="1"/>
  <c r="I657" i="15"/>
  <c r="X300" i="15"/>
  <c r="AD153" i="15"/>
  <c r="AE153" i="15"/>
  <c r="X251" i="15"/>
  <c r="I608" i="15"/>
  <c r="R250" i="15"/>
  <c r="S250" i="15" s="1"/>
  <c r="X294" i="15"/>
  <c r="I651" i="15"/>
  <c r="V300" i="15"/>
  <c r="W300" i="15"/>
  <c r="U300" i="15"/>
  <c r="V275" i="15"/>
  <c r="W275" i="15" s="1"/>
  <c r="U275" i="15"/>
  <c r="J606" i="15"/>
  <c r="AB249" i="15"/>
  <c r="I631" i="15"/>
  <c r="X274" i="15"/>
  <c r="I649" i="15"/>
  <c r="X292" i="15"/>
  <c r="Y292" i="15" s="1"/>
  <c r="U280" i="15"/>
  <c r="U295" i="15"/>
  <c r="I632" i="15"/>
  <c r="X275" i="15"/>
  <c r="Y275" i="15" s="1"/>
  <c r="AK244" i="15"/>
  <c r="AL244" i="15"/>
  <c r="AM244" i="15"/>
  <c r="AL255" i="15"/>
  <c r="AM255" i="15" s="1"/>
  <c r="AB254" i="15"/>
  <c r="J611" i="15"/>
  <c r="T256" i="15"/>
  <c r="V256" i="15" s="1"/>
  <c r="W256" i="15" s="1"/>
  <c r="H613" i="15"/>
  <c r="V296" i="15"/>
  <c r="W296" i="15" s="1"/>
  <c r="U296" i="15"/>
  <c r="AF240" i="15"/>
  <c r="K597" i="15"/>
  <c r="U251" i="15"/>
  <c r="V251" i="15"/>
  <c r="W251" i="15"/>
  <c r="V243" i="15"/>
  <c r="W243" i="15" s="1"/>
  <c r="U243" i="15"/>
  <c r="AD173" i="15"/>
  <c r="AE173" i="15" s="1"/>
  <c r="Y245" i="15"/>
  <c r="Z245" i="15"/>
  <c r="AA245" i="15"/>
  <c r="X298" i="15"/>
  <c r="I655" i="15"/>
  <c r="U299" i="15"/>
  <c r="V299" i="15"/>
  <c r="W299" i="15" s="1"/>
  <c r="Q247" i="15"/>
  <c r="R247" i="15"/>
  <c r="S247" i="15"/>
  <c r="I635" i="15"/>
  <c r="X278" i="15"/>
  <c r="Z258" i="15"/>
  <c r="AA258" i="15"/>
  <c r="Y258" i="15"/>
  <c r="AD151" i="15"/>
  <c r="AA151" i="15"/>
  <c r="AD163" i="15"/>
  <c r="AE163" i="15"/>
  <c r="Z160" i="15"/>
  <c r="AA160" i="15"/>
  <c r="Z162" i="15"/>
  <c r="AA162" i="15"/>
  <c r="X290" i="15"/>
  <c r="I647" i="15"/>
  <c r="W282" i="15"/>
  <c r="U282" i="15"/>
  <c r="X285" i="15"/>
  <c r="I642" i="15"/>
  <c r="U286" i="15"/>
  <c r="V286" i="15"/>
  <c r="W286" i="15" s="1"/>
  <c r="I648" i="15"/>
  <c r="X291" i="15"/>
  <c r="Z291" i="15" s="1"/>
  <c r="AA291" i="15" s="1"/>
  <c r="H644" i="15"/>
  <c r="T287" i="15"/>
  <c r="W161" i="15"/>
  <c r="R283" i="15"/>
  <c r="S283" i="15" s="1"/>
  <c r="Q283" i="15"/>
  <c r="Q284" i="15"/>
  <c r="R284" i="15"/>
  <c r="S284" i="15" s="1"/>
  <c r="I646" i="15"/>
  <c r="X289" i="15"/>
  <c r="U290" i="15"/>
  <c r="V290" i="15"/>
  <c r="W290" i="15"/>
  <c r="V285" i="15"/>
  <c r="W285" i="15" s="1"/>
  <c r="R288" i="15"/>
  <c r="S288" i="15"/>
  <c r="Q288" i="15"/>
  <c r="Z158" i="15"/>
  <c r="AA158" i="15" s="1"/>
  <c r="U289" i="15"/>
  <c r="V289" i="15"/>
  <c r="W289" i="15"/>
  <c r="I639" i="15"/>
  <c r="X282" i="15"/>
  <c r="T283" i="15"/>
  <c r="H640" i="15"/>
  <c r="T284" i="15"/>
  <c r="H641" i="15"/>
  <c r="I643" i="15"/>
  <c r="X286" i="15"/>
  <c r="Y286" i="15" s="1"/>
  <c r="AD159" i="15"/>
  <c r="AE159" i="15"/>
  <c r="H645" i="15"/>
  <c r="T288" i="15"/>
  <c r="R287" i="15"/>
  <c r="S287" i="15"/>
  <c r="Q287" i="15"/>
  <c r="Q239" i="15"/>
  <c r="R239" i="15"/>
  <c r="S239" i="15"/>
  <c r="V237" i="15"/>
  <c r="W237" i="15"/>
  <c r="Z94" i="15"/>
  <c r="AA94" i="15"/>
  <c r="U225" i="15"/>
  <c r="V225" i="15"/>
  <c r="W225" i="15" s="1"/>
  <c r="AB231" i="15"/>
  <c r="J588" i="15"/>
  <c r="H583" i="15"/>
  <c r="T226" i="15"/>
  <c r="Q220" i="15"/>
  <c r="R220" i="15"/>
  <c r="S220" i="15"/>
  <c r="H591" i="15"/>
  <c r="T234" i="15"/>
  <c r="U229" i="15"/>
  <c r="V229" i="15"/>
  <c r="W229" i="15" s="1"/>
  <c r="R235" i="15"/>
  <c r="S235" i="15"/>
  <c r="Q235" i="15"/>
  <c r="I582" i="15"/>
  <c r="X225" i="15"/>
  <c r="S238" i="15"/>
  <c r="Q238" i="15"/>
  <c r="T230" i="15"/>
  <c r="H587" i="15"/>
  <c r="T239" i="15"/>
  <c r="U239" i="15" s="1"/>
  <c r="H596" i="15"/>
  <c r="H577" i="15"/>
  <c r="T220" i="15"/>
  <c r="I594" i="15"/>
  <c r="X237" i="15"/>
  <c r="Z237" i="15" s="1"/>
  <c r="AA237" i="15" s="1"/>
  <c r="Z112" i="15"/>
  <c r="AA112" i="15" s="1"/>
  <c r="H592" i="15"/>
  <c r="T235" i="15"/>
  <c r="V235" i="15" s="1"/>
  <c r="W235" i="15" s="1"/>
  <c r="V222" i="15"/>
  <c r="W222" i="15" s="1"/>
  <c r="Z110" i="15"/>
  <c r="AA110" i="15"/>
  <c r="I586" i="15"/>
  <c r="X229" i="15"/>
  <c r="Z231" i="15"/>
  <c r="AA231" i="15"/>
  <c r="Y231" i="15"/>
  <c r="I579" i="15"/>
  <c r="X222" i="15"/>
  <c r="AD103" i="15"/>
  <c r="AE103" i="15" s="1"/>
  <c r="T238" i="15"/>
  <c r="U238" i="15" s="1"/>
  <c r="H595" i="15"/>
  <c r="Z104" i="15"/>
  <c r="AA104" i="15" s="1"/>
  <c r="Z72" i="15"/>
  <c r="AA72" i="15"/>
  <c r="I543" i="15"/>
  <c r="X186" i="15"/>
  <c r="I549" i="15"/>
  <c r="X192" i="15"/>
  <c r="Z192" i="15" s="1"/>
  <c r="AA192" i="15" s="1"/>
  <c r="V191" i="15"/>
  <c r="W191" i="15" s="1"/>
  <c r="U191" i="15"/>
  <c r="I551" i="15"/>
  <c r="X194" i="15"/>
  <c r="Y194" i="15" s="1"/>
  <c r="U202" i="15"/>
  <c r="V202" i="15"/>
  <c r="W202" i="15"/>
  <c r="V197" i="15"/>
  <c r="W197" i="15" s="1"/>
  <c r="I550" i="15"/>
  <c r="X193" i="15"/>
  <c r="I545" i="15"/>
  <c r="X188" i="15"/>
  <c r="V192" i="15"/>
  <c r="W192" i="15"/>
  <c r="U192" i="15"/>
  <c r="X199" i="15"/>
  <c r="I556" i="15"/>
  <c r="U190" i="15"/>
  <c r="V190" i="15"/>
  <c r="W190" i="15"/>
  <c r="I548" i="15"/>
  <c r="X191" i="15"/>
  <c r="Z191" i="15" s="1"/>
  <c r="AA191" i="15" s="1"/>
  <c r="X202" i="15"/>
  <c r="I559" i="15"/>
  <c r="X203" i="15"/>
  <c r="Y203" i="15" s="1"/>
  <c r="I560" i="15"/>
  <c r="V200" i="15"/>
  <c r="W200" i="15" s="1"/>
  <c r="U200" i="15"/>
  <c r="X197" i="15"/>
  <c r="Y197" i="15" s="1"/>
  <c r="I554" i="15"/>
  <c r="I553" i="15"/>
  <c r="X196" i="15"/>
  <c r="V188" i="15"/>
  <c r="W188" i="15" s="1"/>
  <c r="X198" i="15"/>
  <c r="I555" i="15"/>
  <c r="V195" i="15"/>
  <c r="W195" i="15" s="1"/>
  <c r="U195" i="15"/>
  <c r="I547" i="15"/>
  <c r="X190" i="15"/>
  <c r="Z190" i="15" s="1"/>
  <c r="AA190" i="15" s="1"/>
  <c r="X201" i="15"/>
  <c r="I558" i="15"/>
  <c r="X200" i="15"/>
  <c r="I557" i="15"/>
  <c r="V196" i="15"/>
  <c r="W196" i="15"/>
  <c r="U196" i="15"/>
  <c r="I544" i="15"/>
  <c r="X187" i="15"/>
  <c r="V199" i="15"/>
  <c r="W199" i="15"/>
  <c r="U199" i="15"/>
  <c r="V203" i="15"/>
  <c r="W203" i="15"/>
  <c r="U203" i="15"/>
  <c r="X189" i="15"/>
  <c r="I546" i="15"/>
  <c r="U198" i="15"/>
  <c r="V198" i="15"/>
  <c r="W198" i="15"/>
  <c r="U186" i="15"/>
  <c r="V186" i="15"/>
  <c r="W186" i="15"/>
  <c r="I552" i="15"/>
  <c r="X195" i="15"/>
  <c r="V194" i="15"/>
  <c r="W194" i="15"/>
  <c r="V189" i="15"/>
  <c r="W189" i="15"/>
  <c r="U189" i="15"/>
  <c r="V193" i="15"/>
  <c r="W193" i="15"/>
  <c r="U193" i="15"/>
  <c r="I589" i="15"/>
  <c r="X232" i="15"/>
  <c r="AD99" i="15"/>
  <c r="AE99" i="15" s="1"/>
  <c r="I590" i="15"/>
  <c r="X233" i="15"/>
  <c r="V228" i="15"/>
  <c r="W228" i="15"/>
  <c r="U228" i="15"/>
  <c r="V221" i="15"/>
  <c r="W221" i="15" s="1"/>
  <c r="I593" i="15"/>
  <c r="X236" i="15"/>
  <c r="Z236" i="15" s="1"/>
  <c r="AA236" i="15" s="1"/>
  <c r="X224" i="15"/>
  <c r="I581" i="15"/>
  <c r="AD113" i="15"/>
  <c r="AE113" i="15" s="1"/>
  <c r="X228" i="15"/>
  <c r="I585" i="15"/>
  <c r="I578" i="15"/>
  <c r="X221" i="15"/>
  <c r="U232" i="15"/>
  <c r="V232" i="15"/>
  <c r="W232" i="15" s="1"/>
  <c r="V236" i="15"/>
  <c r="W236" i="15" s="1"/>
  <c r="U233" i="15"/>
  <c r="V233" i="15"/>
  <c r="W233" i="15"/>
  <c r="U224" i="15"/>
  <c r="V224" i="15"/>
  <c r="W224" i="15"/>
  <c r="AA141" i="15"/>
  <c r="AD141" i="15"/>
  <c r="T270" i="15"/>
  <c r="H627" i="15"/>
  <c r="Z144" i="15"/>
  <c r="AA144" i="15" s="1"/>
  <c r="Q270" i="15"/>
  <c r="R270" i="15"/>
  <c r="S270" i="15"/>
  <c r="U269" i="15"/>
  <c r="V269" i="15"/>
  <c r="W269" i="15"/>
  <c r="X269" i="15"/>
  <c r="I626" i="15"/>
  <c r="T268" i="15"/>
  <c r="H625" i="15"/>
  <c r="Z142" i="15"/>
  <c r="AA142" i="15"/>
  <c r="I624" i="15"/>
  <c r="X267" i="15"/>
  <c r="U267" i="15"/>
  <c r="V267" i="15"/>
  <c r="W267" i="15" s="1"/>
  <c r="Z140" i="15"/>
  <c r="AA140" i="15" s="1"/>
  <c r="T266" i="15"/>
  <c r="H623" i="15"/>
  <c r="V139" i="15"/>
  <c r="W139" i="15" s="1"/>
  <c r="G622" i="15"/>
  <c r="P265" i="15"/>
  <c r="H621" i="15"/>
  <c r="T264" i="15"/>
  <c r="Q264" i="15"/>
  <c r="I620" i="15"/>
  <c r="X263" i="15"/>
  <c r="V263" i="15"/>
  <c r="W263" i="15"/>
  <c r="U263" i="15"/>
  <c r="C76" i="13"/>
  <c r="K21" i="15"/>
  <c r="K57" i="15"/>
  <c r="L26" i="19" s="1"/>
  <c r="L46" i="19" s="1"/>
  <c r="L67" i="19"/>
  <c r="L87" i="19" s="1"/>
  <c r="C89" i="13"/>
  <c r="C62" i="13"/>
  <c r="J21" i="15"/>
  <c r="J57" i="15" s="1"/>
  <c r="K26" i="19" s="1"/>
  <c r="K46" i="19" s="1"/>
  <c r="C61" i="13"/>
  <c r="C75" i="13"/>
  <c r="C88" i="13"/>
  <c r="C51" i="13"/>
  <c r="AE167" i="15"/>
  <c r="AD65" i="15"/>
  <c r="AE65" i="15" s="1"/>
  <c r="K508" i="15"/>
  <c r="AF149" i="15"/>
  <c r="AF147" i="15"/>
  <c r="AH147" i="15" s="1"/>
  <c r="AI147" i="15" s="1"/>
  <c r="K506" i="15"/>
  <c r="AF167" i="15"/>
  <c r="AG167" i="15"/>
  <c r="K526" i="15"/>
  <c r="AF174" i="15"/>
  <c r="K533" i="15"/>
  <c r="Z122" i="15"/>
  <c r="AA122" i="15" s="1"/>
  <c r="K511" i="15"/>
  <c r="AF152" i="15"/>
  <c r="AF170" i="15"/>
  <c r="AG170" i="15"/>
  <c r="K529" i="15"/>
  <c r="AF145" i="15"/>
  <c r="AG145" i="15"/>
  <c r="K504" i="15"/>
  <c r="AC172" i="15"/>
  <c r="AD172" i="15"/>
  <c r="AE172" i="15"/>
  <c r="K505" i="15"/>
  <c r="AF146" i="15"/>
  <c r="AG146" i="15" s="1"/>
  <c r="AF148" i="15"/>
  <c r="K507" i="15"/>
  <c r="K480" i="15"/>
  <c r="AF121" i="15"/>
  <c r="AG121" i="15"/>
  <c r="AB129" i="15"/>
  <c r="AD129" i="15" s="1"/>
  <c r="AE129" i="15" s="1"/>
  <c r="J488" i="15"/>
  <c r="AF130" i="15"/>
  <c r="AG130" i="15"/>
  <c r="K489" i="15"/>
  <c r="AC166" i="15"/>
  <c r="AD166" i="15"/>
  <c r="AE166" i="15"/>
  <c r="AF127" i="15"/>
  <c r="AH127" i="15" s="1"/>
  <c r="AI127" i="15" s="1"/>
  <c r="AG127" i="15"/>
  <c r="K486" i="15"/>
  <c r="AF131" i="15"/>
  <c r="AG131" i="15"/>
  <c r="K490" i="15"/>
  <c r="K528" i="15"/>
  <c r="AF169" i="15"/>
  <c r="AG169" i="15" s="1"/>
  <c r="AF128" i="15"/>
  <c r="AH128" i="15" s="1"/>
  <c r="AI128" i="15" s="1"/>
  <c r="K487" i="15"/>
  <c r="AC150" i="15"/>
  <c r="AD150" i="15"/>
  <c r="AE150" i="15"/>
  <c r="AD175" i="15"/>
  <c r="AE175" i="15"/>
  <c r="AD127" i="15"/>
  <c r="AE127" i="15"/>
  <c r="AD131" i="15"/>
  <c r="AE131" i="15"/>
  <c r="AF175" i="15"/>
  <c r="AG175" i="15"/>
  <c r="K534" i="15"/>
  <c r="AC149" i="15"/>
  <c r="AD149" i="15"/>
  <c r="AE149" i="15"/>
  <c r="AC147" i="15"/>
  <c r="AD147" i="15"/>
  <c r="AE147" i="15"/>
  <c r="AC115" i="15"/>
  <c r="K513" i="15"/>
  <c r="AF154" i="15"/>
  <c r="AG154" i="15"/>
  <c r="AF166" i="15"/>
  <c r="K525" i="15"/>
  <c r="AF126" i="15"/>
  <c r="K485" i="15"/>
  <c r="AD152" i="15"/>
  <c r="AE152" i="15"/>
  <c r="AJ125" i="15"/>
  <c r="AK125" i="15"/>
  <c r="L484" i="15"/>
  <c r="AD170" i="15"/>
  <c r="AE170" i="15" s="1"/>
  <c r="AC170" i="15"/>
  <c r="AF123" i="15"/>
  <c r="AG123" i="15"/>
  <c r="K482" i="15"/>
  <c r="K512" i="15"/>
  <c r="AF153" i="15"/>
  <c r="AG153" i="15"/>
  <c r="AF150" i="15"/>
  <c r="K509" i="15"/>
  <c r="Y129" i="15"/>
  <c r="Z129" i="15"/>
  <c r="AA129" i="15" s="1"/>
  <c r="AB122" i="15"/>
  <c r="AC122" i="15" s="1"/>
  <c r="J481" i="15"/>
  <c r="AF115" i="15"/>
  <c r="AG115" i="15" s="1"/>
  <c r="K474" i="15"/>
  <c r="AF168" i="15"/>
  <c r="K527" i="15"/>
  <c r="K479" i="15"/>
  <c r="AF120" i="15"/>
  <c r="K492" i="15"/>
  <c r="AF133" i="15"/>
  <c r="AG133" i="15" s="1"/>
  <c r="K530" i="15"/>
  <c r="AF171" i="15"/>
  <c r="AC169" i="15"/>
  <c r="AD169" i="15"/>
  <c r="AE169" i="15" s="1"/>
  <c r="AF172" i="15"/>
  <c r="K531" i="15"/>
  <c r="K475" i="15"/>
  <c r="AF116" i="15"/>
  <c r="AJ118" i="15"/>
  <c r="AK118" i="15"/>
  <c r="L477" i="15"/>
  <c r="J523" i="15"/>
  <c r="AB164" i="15"/>
  <c r="K518" i="15"/>
  <c r="AF159" i="15"/>
  <c r="AG159" i="15"/>
  <c r="K522" i="15"/>
  <c r="AF163" i="15"/>
  <c r="AG163" i="15"/>
  <c r="AF161" i="15"/>
  <c r="AG161" i="15" s="1"/>
  <c r="K520" i="15"/>
  <c r="J517" i="15"/>
  <c r="AB158" i="15"/>
  <c r="AC158" i="15" s="1"/>
  <c r="Z156" i="15"/>
  <c r="AA156" i="15"/>
  <c r="AF165" i="15"/>
  <c r="AG165" i="15"/>
  <c r="K524" i="15"/>
  <c r="AB156" i="15"/>
  <c r="AD156" i="15" s="1"/>
  <c r="AE156" i="15" s="1"/>
  <c r="J515" i="15"/>
  <c r="AF162" i="15"/>
  <c r="AG162" i="15"/>
  <c r="K521" i="15"/>
  <c r="K516" i="15"/>
  <c r="AF157" i="15"/>
  <c r="AG157" i="15"/>
  <c r="Y164" i="15"/>
  <c r="K519" i="15"/>
  <c r="AF160" i="15"/>
  <c r="AG160" i="15" s="1"/>
  <c r="K499" i="15"/>
  <c r="AF140" i="15"/>
  <c r="AH140" i="15" s="1"/>
  <c r="AI140" i="15" s="1"/>
  <c r="AG140" i="15"/>
  <c r="AC143" i="15"/>
  <c r="AD143" i="15"/>
  <c r="AE143" i="15"/>
  <c r="AC137" i="15"/>
  <c r="AD137" i="15"/>
  <c r="AE137" i="15" s="1"/>
  <c r="K498" i="15"/>
  <c r="AF139" i="15"/>
  <c r="AG139" i="15" s="1"/>
  <c r="K502" i="15"/>
  <c r="AF143" i="15"/>
  <c r="K500" i="15"/>
  <c r="AF141" i="15"/>
  <c r="AG141" i="15" s="1"/>
  <c r="K503" i="15"/>
  <c r="AF144" i="15"/>
  <c r="AH144" i="15" s="1"/>
  <c r="AI144" i="15" s="1"/>
  <c r="AG144" i="15"/>
  <c r="K501" i="15"/>
  <c r="AF142" i="15"/>
  <c r="AG142" i="15"/>
  <c r="Z138" i="15"/>
  <c r="AA138" i="15" s="1"/>
  <c r="J497" i="15"/>
  <c r="AB138" i="15"/>
  <c r="AC138" i="15"/>
  <c r="AF137" i="15"/>
  <c r="K496" i="15"/>
  <c r="AF110" i="15"/>
  <c r="AG110" i="15"/>
  <c r="K469" i="15"/>
  <c r="J453" i="15"/>
  <c r="AB94" i="15"/>
  <c r="AC94" i="15"/>
  <c r="AF103" i="15"/>
  <c r="AG103" i="15" s="1"/>
  <c r="K462" i="15"/>
  <c r="AF107" i="15"/>
  <c r="AG107" i="15" s="1"/>
  <c r="K466" i="15"/>
  <c r="AF100" i="15"/>
  <c r="AG100" i="15" s="1"/>
  <c r="K459" i="15"/>
  <c r="AF109" i="15"/>
  <c r="AG109" i="15"/>
  <c r="K468" i="15"/>
  <c r="AF102" i="15"/>
  <c r="AG102" i="15" s="1"/>
  <c r="K461" i="15"/>
  <c r="AC108" i="15"/>
  <c r="AB105" i="15"/>
  <c r="J464" i="15"/>
  <c r="AF97" i="15"/>
  <c r="K456" i="15"/>
  <c r="AF112" i="15"/>
  <c r="AG112" i="15" s="1"/>
  <c r="K471" i="15"/>
  <c r="Y111" i="15"/>
  <c r="Z111" i="15"/>
  <c r="AA111" i="15" s="1"/>
  <c r="AJ98" i="15"/>
  <c r="AK98" i="15" s="1"/>
  <c r="L457" i="15"/>
  <c r="AF95" i="15"/>
  <c r="AG95" i="15" s="1"/>
  <c r="K454" i="15"/>
  <c r="AF108" i="15"/>
  <c r="AG108" i="15" s="1"/>
  <c r="K467" i="15"/>
  <c r="AD97" i="15"/>
  <c r="AE97" i="15"/>
  <c r="AF99" i="15"/>
  <c r="AG99" i="15" s="1"/>
  <c r="K458" i="15"/>
  <c r="K463" i="15"/>
  <c r="AF104" i="15"/>
  <c r="AF106" i="15"/>
  <c r="AH106" i="15" s="1"/>
  <c r="AI106" i="15" s="1"/>
  <c r="K465" i="15"/>
  <c r="AF96" i="15"/>
  <c r="AH96" i="15" s="1"/>
  <c r="AI96" i="15" s="1"/>
  <c r="AG96" i="15"/>
  <c r="K455" i="15"/>
  <c r="AD106" i="15"/>
  <c r="AE106" i="15" s="1"/>
  <c r="AC106" i="15"/>
  <c r="AB111" i="15"/>
  <c r="J470" i="15"/>
  <c r="AJ101" i="15"/>
  <c r="AK101" i="15"/>
  <c r="L460" i="15"/>
  <c r="AF113" i="15"/>
  <c r="AG113" i="15" s="1"/>
  <c r="K472" i="15"/>
  <c r="Y105" i="15"/>
  <c r="Z105" i="15"/>
  <c r="AA105" i="15" s="1"/>
  <c r="AF64" i="15"/>
  <c r="AG64" i="15" s="1"/>
  <c r="K423" i="15"/>
  <c r="AF63" i="15"/>
  <c r="AG63" i="15" s="1"/>
  <c r="K422" i="15"/>
  <c r="AF60" i="15"/>
  <c r="AG60" i="15" s="1"/>
  <c r="K419" i="15"/>
  <c r="AF62" i="15"/>
  <c r="K421" i="15"/>
  <c r="AF69" i="15"/>
  <c r="K428" i="15"/>
  <c r="AF68" i="15"/>
  <c r="AG68" i="15"/>
  <c r="K427" i="15"/>
  <c r="AE75" i="15"/>
  <c r="K432" i="15"/>
  <c r="AF73" i="15"/>
  <c r="AG73" i="15" s="1"/>
  <c r="AC77" i="15"/>
  <c r="AD77" i="15"/>
  <c r="AE77" i="15" s="1"/>
  <c r="K430" i="15"/>
  <c r="AF71" i="15"/>
  <c r="AC67" i="15"/>
  <c r="AD67" i="15"/>
  <c r="AE67" i="15" s="1"/>
  <c r="AF70" i="15"/>
  <c r="AG70" i="15" s="1"/>
  <c r="K429" i="15"/>
  <c r="AD60" i="15"/>
  <c r="AE60" i="15" s="1"/>
  <c r="AC64" i="15"/>
  <c r="AD64" i="15"/>
  <c r="AE64" i="15" s="1"/>
  <c r="AF66" i="15"/>
  <c r="K425" i="15"/>
  <c r="K434" i="15"/>
  <c r="AF75" i="15"/>
  <c r="AC73" i="15"/>
  <c r="AD73" i="15"/>
  <c r="AE73" i="15" s="1"/>
  <c r="AC76" i="15"/>
  <c r="AD76" i="15"/>
  <c r="AE76" i="15"/>
  <c r="AF77" i="15"/>
  <c r="AG77" i="15" s="1"/>
  <c r="K436" i="15"/>
  <c r="AC71" i="15"/>
  <c r="AD71" i="15"/>
  <c r="AE71" i="15" s="1"/>
  <c r="AC74" i="15"/>
  <c r="AD74" i="15"/>
  <c r="AE74" i="15" s="1"/>
  <c r="AD68" i="15"/>
  <c r="AE68" i="15"/>
  <c r="K420" i="15"/>
  <c r="AF61" i="15"/>
  <c r="AH61" i="15" s="1"/>
  <c r="AI61" i="15" s="1"/>
  <c r="AF65" i="15"/>
  <c r="AG65" i="15"/>
  <c r="K424" i="15"/>
  <c r="AC66" i="15"/>
  <c r="AD66" i="15"/>
  <c r="AE66" i="15"/>
  <c r="AF72" i="15"/>
  <c r="AG72" i="15" s="1"/>
  <c r="K431" i="15"/>
  <c r="AC63" i="15"/>
  <c r="AD63" i="15"/>
  <c r="AE63" i="15" s="1"/>
  <c r="AC70" i="15"/>
  <c r="AD70" i="15"/>
  <c r="AE70" i="15" s="1"/>
  <c r="AF76" i="15"/>
  <c r="K435" i="15"/>
  <c r="K426" i="15"/>
  <c r="AF67" i="15"/>
  <c r="AH67" i="15" s="1"/>
  <c r="AI67" i="15" s="1"/>
  <c r="AF74" i="15"/>
  <c r="K433" i="15"/>
  <c r="U242" i="15"/>
  <c r="V242" i="15"/>
  <c r="W242" i="15" s="1"/>
  <c r="J614" i="15"/>
  <c r="AB257" i="15"/>
  <c r="U253" i="15"/>
  <c r="V253" i="15"/>
  <c r="W253" i="15"/>
  <c r="X242" i="15"/>
  <c r="I599" i="15"/>
  <c r="AD116" i="15"/>
  <c r="AE116" i="15"/>
  <c r="X253" i="15"/>
  <c r="I610" i="15"/>
  <c r="AD133" i="15"/>
  <c r="AE133" i="15"/>
  <c r="AB248" i="15"/>
  <c r="J605" i="15"/>
  <c r="X259" i="15"/>
  <c r="I616" i="15"/>
  <c r="Z257" i="15"/>
  <c r="AA257" i="15"/>
  <c r="Y257" i="15"/>
  <c r="Z248" i="15"/>
  <c r="AA248" i="15" s="1"/>
  <c r="Y248" i="15"/>
  <c r="AD132" i="15"/>
  <c r="AE132" i="15" s="1"/>
  <c r="AH151" i="15"/>
  <c r="AI151" i="15" s="1"/>
  <c r="AE151" i="15"/>
  <c r="Y278" i="15"/>
  <c r="Z278" i="15"/>
  <c r="AA278" i="15" s="1"/>
  <c r="AB298" i="15"/>
  <c r="J655" i="15"/>
  <c r="AD117" i="15"/>
  <c r="AE117" i="15" s="1"/>
  <c r="X256" i="15"/>
  <c r="I613" i="15"/>
  <c r="AB274" i="15"/>
  <c r="AC274" i="15" s="1"/>
  <c r="J631" i="15"/>
  <c r="AC249" i="15"/>
  <c r="AD249" i="15"/>
  <c r="AE249" i="15"/>
  <c r="J651" i="15"/>
  <c r="AB294" i="15"/>
  <c r="AD294" i="15" s="1"/>
  <c r="AE294" i="15" s="1"/>
  <c r="J657" i="15"/>
  <c r="AB300" i="15"/>
  <c r="AH124" i="15"/>
  <c r="AI124" i="15"/>
  <c r="K602" i="15"/>
  <c r="AF245" i="15"/>
  <c r="AG245" i="15" s="1"/>
  <c r="AB293" i="15"/>
  <c r="AC293" i="15" s="1"/>
  <c r="J650" i="15"/>
  <c r="Z296" i="15"/>
  <c r="AA296" i="15" s="1"/>
  <c r="Y296" i="15"/>
  <c r="AB280" i="15"/>
  <c r="AC280" i="15" s="1"/>
  <c r="J637" i="15"/>
  <c r="Y276" i="15"/>
  <c r="Z276" i="15"/>
  <c r="AA276" i="15"/>
  <c r="Y299" i="15"/>
  <c r="Z299" i="15"/>
  <c r="AA299" i="15"/>
  <c r="Y297" i="15"/>
  <c r="Z297" i="15"/>
  <c r="AA297" i="15" s="1"/>
  <c r="J609" i="15"/>
  <c r="AB252" i="15"/>
  <c r="Y301" i="15"/>
  <c r="Z301" i="15"/>
  <c r="AA301" i="15"/>
  <c r="J634" i="15"/>
  <c r="AB277" i="15"/>
  <c r="AC277" i="15" s="1"/>
  <c r="AC258" i="15"/>
  <c r="AD258" i="15"/>
  <c r="AE258" i="15"/>
  <c r="X247" i="15"/>
  <c r="Z247" i="15" s="1"/>
  <c r="AA247" i="15" s="1"/>
  <c r="I604" i="15"/>
  <c r="AB272" i="15"/>
  <c r="J629" i="15"/>
  <c r="AD121" i="15"/>
  <c r="AE121" i="15" s="1"/>
  <c r="AE130" i="15"/>
  <c r="Y295" i="15"/>
  <c r="Z295" i="15"/>
  <c r="AA295" i="15" s="1"/>
  <c r="Y274" i="15"/>
  <c r="Z274" i="15"/>
  <c r="AA274" i="15" s="1"/>
  <c r="AH119" i="15"/>
  <c r="AI119" i="15" s="1"/>
  <c r="J636" i="15"/>
  <c r="AB279" i="15"/>
  <c r="J654" i="15"/>
  <c r="AB297" i="15"/>
  <c r="AD297" i="15" s="1"/>
  <c r="AE297" i="15" s="1"/>
  <c r="AF258" i="15"/>
  <c r="K615" i="15"/>
  <c r="AB273" i="15"/>
  <c r="AD273" i="15" s="1"/>
  <c r="AE273" i="15" s="1"/>
  <c r="J630" i="15"/>
  <c r="U213" i="15"/>
  <c r="V213" i="15"/>
  <c r="W213" i="15" s="1"/>
  <c r="AH173" i="15"/>
  <c r="AI173" i="15" s="1"/>
  <c r="Y294" i="15"/>
  <c r="Z294" i="15"/>
  <c r="AA294" i="15" s="1"/>
  <c r="AH175" i="15"/>
  <c r="AI175" i="15"/>
  <c r="K606" i="15"/>
  <c r="AF249" i="15"/>
  <c r="AB251" i="15"/>
  <c r="AC251" i="15" s="1"/>
  <c r="J608" i="15"/>
  <c r="Y300" i="15"/>
  <c r="Z300" i="15"/>
  <c r="AA300" i="15"/>
  <c r="AC245" i="15"/>
  <c r="AD245" i="15"/>
  <c r="AE245" i="15" s="1"/>
  <c r="Z271" i="15"/>
  <c r="AA271" i="15"/>
  <c r="Y271" i="15"/>
  <c r="Z293" i="15"/>
  <c r="AA293" i="15"/>
  <c r="J633" i="15"/>
  <c r="AB276" i="15"/>
  <c r="J656" i="15"/>
  <c r="AB299" i="15"/>
  <c r="AD299" i="15" s="1"/>
  <c r="AE299" i="15" s="1"/>
  <c r="U247" i="15"/>
  <c r="V247" i="15"/>
  <c r="W247" i="15"/>
  <c r="Y243" i="15"/>
  <c r="Z243" i="15"/>
  <c r="AA243" i="15" s="1"/>
  <c r="Y272" i="15"/>
  <c r="Z272" i="15"/>
  <c r="AA272" i="15"/>
  <c r="Z273" i="15"/>
  <c r="AA273" i="15" s="1"/>
  <c r="AB295" i="15"/>
  <c r="AD295" i="15" s="1"/>
  <c r="J652" i="15"/>
  <c r="Y298" i="15"/>
  <c r="Z298" i="15"/>
  <c r="AA298" i="15" s="1"/>
  <c r="J649" i="15"/>
  <c r="AB292" i="15"/>
  <c r="AD292" i="15" s="1"/>
  <c r="AE292" i="15" s="1"/>
  <c r="AD154" i="15"/>
  <c r="AE154" i="15" s="1"/>
  <c r="AD118" i="15"/>
  <c r="AE118" i="15" s="1"/>
  <c r="AG240" i="15"/>
  <c r="AC254" i="15"/>
  <c r="AD254" i="15"/>
  <c r="AE254" i="15"/>
  <c r="AB275" i="15"/>
  <c r="J632" i="15"/>
  <c r="J635" i="15"/>
  <c r="AB278" i="15"/>
  <c r="AC278" i="15" s="1"/>
  <c r="AJ240" i="15"/>
  <c r="AK240" i="15" s="1"/>
  <c r="L597" i="15"/>
  <c r="U256" i="15"/>
  <c r="AF254" i="15"/>
  <c r="K611" i="15"/>
  <c r="Z292" i="15"/>
  <c r="AA292" i="15" s="1"/>
  <c r="Y251" i="15"/>
  <c r="Z251" i="15"/>
  <c r="AA251" i="15" s="1"/>
  <c r="AH153" i="15"/>
  <c r="AI153" i="15"/>
  <c r="AB271" i="15"/>
  <c r="J628" i="15"/>
  <c r="J653" i="15"/>
  <c r="AB296" i="15"/>
  <c r="AC296" i="15" s="1"/>
  <c r="AH167" i="15"/>
  <c r="AI167" i="15" s="1"/>
  <c r="Y280" i="15"/>
  <c r="Z280" i="15"/>
  <c r="AA280" i="15"/>
  <c r="Y252" i="15"/>
  <c r="Z252" i="15"/>
  <c r="AA252" i="15" s="1"/>
  <c r="AD146" i="15"/>
  <c r="AE146" i="15"/>
  <c r="J658" i="15"/>
  <c r="AB301" i="15"/>
  <c r="AB243" i="15"/>
  <c r="J600" i="15"/>
  <c r="X213" i="15"/>
  <c r="I570" i="15"/>
  <c r="X250" i="15"/>
  <c r="I607" i="15"/>
  <c r="AD160" i="15"/>
  <c r="X288" i="15"/>
  <c r="Y288" i="15" s="1"/>
  <c r="I645" i="15"/>
  <c r="Z286" i="15"/>
  <c r="AA286" i="15"/>
  <c r="AB290" i="15"/>
  <c r="J647" i="15"/>
  <c r="X284" i="15"/>
  <c r="I641" i="15"/>
  <c r="AB286" i="15"/>
  <c r="J643" i="15"/>
  <c r="V284" i="15"/>
  <c r="W284" i="15"/>
  <c r="U284" i="15"/>
  <c r="V283" i="15"/>
  <c r="W283" i="15"/>
  <c r="U283" i="15"/>
  <c r="Z289" i="15"/>
  <c r="AA289" i="15" s="1"/>
  <c r="Y289" i="15"/>
  <c r="Y285" i="15"/>
  <c r="Z285" i="15"/>
  <c r="AA285" i="15" s="1"/>
  <c r="J639" i="15"/>
  <c r="AB282" i="15"/>
  <c r="AD282" i="15" s="1"/>
  <c r="AE282" i="15" s="1"/>
  <c r="J646" i="15"/>
  <c r="J659" i="15" s="1"/>
  <c r="J302" i="15" s="1"/>
  <c r="AB302" i="15" s="1"/>
  <c r="AB289" i="15"/>
  <c r="U287" i="15"/>
  <c r="V287" i="15"/>
  <c r="W287" i="15"/>
  <c r="Y291" i="15"/>
  <c r="Y290" i="15"/>
  <c r="Z290" i="15"/>
  <c r="AA290" i="15"/>
  <c r="Y282" i="15"/>
  <c r="Z282" i="15"/>
  <c r="AA282" i="15" s="1"/>
  <c r="AD161" i="15"/>
  <c r="AE161" i="15"/>
  <c r="V288" i="15"/>
  <c r="W288" i="15" s="1"/>
  <c r="U288" i="15"/>
  <c r="X283" i="15"/>
  <c r="Y283" i="15" s="1"/>
  <c r="I640" i="15"/>
  <c r="I659" i="15" s="1"/>
  <c r="I302" i="15" s="1"/>
  <c r="X302" i="15" s="1"/>
  <c r="X287" i="15"/>
  <c r="I644" i="15"/>
  <c r="J648" i="15"/>
  <c r="AB291" i="15"/>
  <c r="AD291" i="15" s="1"/>
  <c r="AE291" i="15" s="1"/>
  <c r="AB285" i="15"/>
  <c r="J642" i="15"/>
  <c r="AD162" i="15"/>
  <c r="AE162" i="15"/>
  <c r="AD104" i="15"/>
  <c r="AE104" i="15"/>
  <c r="I595" i="15"/>
  <c r="X238" i="15"/>
  <c r="Z222" i="15"/>
  <c r="AA222" i="15"/>
  <c r="Y222" i="15"/>
  <c r="AB229" i="15"/>
  <c r="J586" i="15"/>
  <c r="AD110" i="15"/>
  <c r="AE110" i="15" s="1"/>
  <c r="AD112" i="15"/>
  <c r="J594" i="15"/>
  <c r="AB237" i="15"/>
  <c r="I596" i="15"/>
  <c r="X239" i="15"/>
  <c r="Z239" i="15" s="1"/>
  <c r="AD100" i="15"/>
  <c r="AE100" i="15" s="1"/>
  <c r="AB225" i="15"/>
  <c r="J582" i="15"/>
  <c r="X226" i="15"/>
  <c r="I583" i="15"/>
  <c r="AC231" i="15"/>
  <c r="AD231" i="15"/>
  <c r="AE231" i="15"/>
  <c r="I592" i="15"/>
  <c r="X235" i="15"/>
  <c r="Z235" i="15" s="1"/>
  <c r="AA235" i="15" s="1"/>
  <c r="AD109" i="15"/>
  <c r="AE109" i="15" s="1"/>
  <c r="X220" i="15"/>
  <c r="I577" i="15"/>
  <c r="I591" i="15"/>
  <c r="X234" i="15"/>
  <c r="Z234" i="15" s="1"/>
  <c r="AD95" i="15"/>
  <c r="AE95" i="15" s="1"/>
  <c r="K588" i="15"/>
  <c r="AF231" i="15"/>
  <c r="AG231" i="15" s="1"/>
  <c r="AD94" i="15"/>
  <c r="AE94" i="15" s="1"/>
  <c r="Y229" i="15"/>
  <c r="Z229" i="15"/>
  <c r="AA229" i="15"/>
  <c r="AD102" i="15"/>
  <c r="AE102" i="15" s="1"/>
  <c r="Y237" i="15"/>
  <c r="U230" i="15"/>
  <c r="V230" i="15"/>
  <c r="W230" i="15" s="1"/>
  <c r="Y225" i="15"/>
  <c r="Z225" i="15"/>
  <c r="AA225" i="15"/>
  <c r="U226" i="15"/>
  <c r="V226" i="15"/>
  <c r="W226" i="15" s="1"/>
  <c r="J579" i="15"/>
  <c r="AB222" i="15"/>
  <c r="AD222" i="15" s="1"/>
  <c r="AE222" i="15" s="1"/>
  <c r="U235" i="15"/>
  <c r="U220" i="15"/>
  <c r="V220" i="15"/>
  <c r="W220" i="15" s="1"/>
  <c r="V239" i="15"/>
  <c r="W239" i="15"/>
  <c r="X230" i="15"/>
  <c r="I587" i="15"/>
  <c r="U234" i="15"/>
  <c r="V234" i="15"/>
  <c r="W234" i="15" s="1"/>
  <c r="Y189" i="15"/>
  <c r="Z189" i="15"/>
  <c r="AA189" i="15"/>
  <c r="AH68" i="15"/>
  <c r="AI68" i="15" s="1"/>
  <c r="Y187" i="15"/>
  <c r="Z187" i="15"/>
  <c r="AA187" i="15" s="1"/>
  <c r="J558" i="15"/>
  <c r="AB201" i="15"/>
  <c r="AD201" i="15" s="1"/>
  <c r="AE201" i="15" s="1"/>
  <c r="AB191" i="15"/>
  <c r="AD191" i="15" s="1"/>
  <c r="AE191" i="15" s="1"/>
  <c r="J548" i="15"/>
  <c r="Y199" i="15"/>
  <c r="Z199" i="15"/>
  <c r="AA199" i="15"/>
  <c r="Y192" i="15"/>
  <c r="J557" i="15"/>
  <c r="AB200" i="15"/>
  <c r="Y198" i="15"/>
  <c r="Z198" i="15"/>
  <c r="AA198" i="15"/>
  <c r="Y188" i="15"/>
  <c r="Z188" i="15"/>
  <c r="AA188" i="15"/>
  <c r="AB189" i="15"/>
  <c r="AC189" i="15" s="1"/>
  <c r="J546" i="15"/>
  <c r="Z200" i="15"/>
  <c r="AA200" i="15"/>
  <c r="Y200" i="15"/>
  <c r="Z196" i="15"/>
  <c r="AA196" i="15"/>
  <c r="Y196" i="15"/>
  <c r="Z197" i="15"/>
  <c r="AA197" i="15" s="1"/>
  <c r="AB188" i="15"/>
  <c r="AD188" i="15" s="1"/>
  <c r="J545" i="15"/>
  <c r="J549" i="15"/>
  <c r="AB192" i="15"/>
  <c r="AC192" i="15" s="1"/>
  <c r="J555" i="15"/>
  <c r="AB198" i="15"/>
  <c r="J559" i="15"/>
  <c r="AB202" i="15"/>
  <c r="J551" i="15"/>
  <c r="AB194" i="15"/>
  <c r="AC194" i="15" s="1"/>
  <c r="Y201" i="15"/>
  <c r="Z201" i="15"/>
  <c r="AA201" i="15" s="1"/>
  <c r="Z203" i="15"/>
  <c r="AA203" i="15"/>
  <c r="Z186" i="15"/>
  <c r="AA186" i="15"/>
  <c r="Y186" i="15"/>
  <c r="Z195" i="15"/>
  <c r="AA195" i="15" s="1"/>
  <c r="Y195" i="15"/>
  <c r="J556" i="15"/>
  <c r="AB199" i="15"/>
  <c r="J543" i="15"/>
  <c r="AB186" i="15"/>
  <c r="AD186" i="15" s="1"/>
  <c r="AE186" i="15" s="1"/>
  <c r="AB195" i="15"/>
  <c r="AC195" i="15" s="1"/>
  <c r="J552" i="15"/>
  <c r="AB187" i="15"/>
  <c r="J544" i="15"/>
  <c r="AB190" i="15"/>
  <c r="AD190" i="15" s="1"/>
  <c r="AE190" i="15" s="1"/>
  <c r="J547" i="15"/>
  <c r="AB196" i="15"/>
  <c r="J553" i="15"/>
  <c r="J554" i="15"/>
  <c r="AB197" i="15"/>
  <c r="AC197" i="15" s="1"/>
  <c r="AB203" i="15"/>
  <c r="J560" i="15"/>
  <c r="Y202" i="15"/>
  <c r="Z202" i="15"/>
  <c r="AA202" i="15" s="1"/>
  <c r="Y191" i="15"/>
  <c r="J550" i="15"/>
  <c r="AB193" i="15"/>
  <c r="Z194" i="15"/>
  <c r="AA194" i="15"/>
  <c r="Y228" i="15"/>
  <c r="Z228" i="15"/>
  <c r="AA228" i="15"/>
  <c r="Z224" i="15"/>
  <c r="AA224" i="15"/>
  <c r="Y224" i="15"/>
  <c r="Y236" i="15"/>
  <c r="Y233" i="15"/>
  <c r="Z233" i="15"/>
  <c r="AA233" i="15"/>
  <c r="Z221" i="15"/>
  <c r="AA221" i="15"/>
  <c r="Y221" i="15"/>
  <c r="AB224" i="15"/>
  <c r="J581" i="15"/>
  <c r="Y232" i="15"/>
  <c r="Z232" i="15"/>
  <c r="AA232" i="15"/>
  <c r="J578" i="15"/>
  <c r="AB221" i="15"/>
  <c r="AD221" i="15" s="1"/>
  <c r="AE221" i="15" s="1"/>
  <c r="AB236" i="15"/>
  <c r="J593" i="15"/>
  <c r="AB233" i="15"/>
  <c r="AC233" i="15" s="1"/>
  <c r="J590" i="15"/>
  <c r="AB228" i="15"/>
  <c r="J585" i="15"/>
  <c r="AH99" i="15"/>
  <c r="AI99" i="15" s="1"/>
  <c r="J589" i="15"/>
  <c r="AB232" i="15"/>
  <c r="AD232" i="15" s="1"/>
  <c r="AE141" i="15"/>
  <c r="AH141" i="15"/>
  <c r="AI141" i="15"/>
  <c r="U270" i="15"/>
  <c r="V270" i="15"/>
  <c r="W270" i="15" s="1"/>
  <c r="AD144" i="15"/>
  <c r="AE144" i="15" s="1"/>
  <c r="I627" i="15"/>
  <c r="X270" i="15"/>
  <c r="Z269" i="15"/>
  <c r="AA269" i="15"/>
  <c r="Y269" i="15"/>
  <c r="J626" i="15"/>
  <c r="AB269" i="15"/>
  <c r="AC269" i="15" s="1"/>
  <c r="V268" i="15"/>
  <c r="W268" i="15"/>
  <c r="U268" i="15"/>
  <c r="AD142" i="15"/>
  <c r="AE142" i="15"/>
  <c r="X268" i="15"/>
  <c r="Y268" i="15" s="1"/>
  <c r="I625" i="15"/>
  <c r="Y267" i="15"/>
  <c r="Z267" i="15"/>
  <c r="AA267" i="15"/>
  <c r="J624" i="15"/>
  <c r="AB267" i="15"/>
  <c r="U266" i="15"/>
  <c r="V266" i="15"/>
  <c r="W266" i="15" s="1"/>
  <c r="I623" i="15"/>
  <c r="X266" i="15"/>
  <c r="AD140" i="15"/>
  <c r="AE140" i="15" s="1"/>
  <c r="R265" i="15"/>
  <c r="S265" i="15"/>
  <c r="Q265" i="15"/>
  <c r="H622" i="15"/>
  <c r="T265" i="15"/>
  <c r="Z139" i="15"/>
  <c r="AA139" i="15"/>
  <c r="U264" i="15"/>
  <c r="V264" i="15"/>
  <c r="W264" i="15"/>
  <c r="AD138" i="15"/>
  <c r="AE138" i="15"/>
  <c r="X264" i="15"/>
  <c r="I621" i="15"/>
  <c r="AB263" i="15"/>
  <c r="AD263" i="15" s="1"/>
  <c r="AE263" i="15" s="1"/>
  <c r="J620" i="15"/>
  <c r="Z263" i="15"/>
  <c r="AA263" i="15" s="1"/>
  <c r="Y263" i="15"/>
  <c r="C63" i="13"/>
  <c r="C77" i="13"/>
  <c r="C90" i="13"/>
  <c r="L21" i="15"/>
  <c r="L57" i="15"/>
  <c r="M108" i="19"/>
  <c r="M128" i="19" s="1"/>
  <c r="AD158" i="15"/>
  <c r="AE158" i="15"/>
  <c r="AH131" i="15"/>
  <c r="AI131" i="15" s="1"/>
  <c r="AH103" i="15"/>
  <c r="AI103" i="15" s="1"/>
  <c r="AH123" i="15"/>
  <c r="AI123" i="15"/>
  <c r="AJ172" i="15"/>
  <c r="L531" i="15"/>
  <c r="AG171" i="15"/>
  <c r="AH171" i="15"/>
  <c r="AI171" i="15" s="1"/>
  <c r="AG120" i="15"/>
  <c r="AH120" i="15"/>
  <c r="AI120" i="15"/>
  <c r="AJ126" i="15"/>
  <c r="AL126" i="15" s="1"/>
  <c r="AM126" i="15" s="1"/>
  <c r="L485" i="15"/>
  <c r="AH169" i="15"/>
  <c r="AI169" i="15" s="1"/>
  <c r="AJ131" i="15"/>
  <c r="AL131" i="15" s="1"/>
  <c r="AM131" i="15" s="1"/>
  <c r="AK131" i="15"/>
  <c r="L490" i="15"/>
  <c r="K488" i="15"/>
  <c r="AF129" i="15"/>
  <c r="AG129" i="15" s="1"/>
  <c r="AG148" i="15"/>
  <c r="AH148" i="15"/>
  <c r="AI148" i="15"/>
  <c r="AG152" i="15"/>
  <c r="AH152" i="15"/>
  <c r="AI152" i="15" s="1"/>
  <c r="AG174" i="15"/>
  <c r="AH174" i="15"/>
  <c r="AI174" i="15"/>
  <c r="AJ147" i="15"/>
  <c r="L506" i="15"/>
  <c r="AG172" i="15"/>
  <c r="AH172" i="15"/>
  <c r="AI172" i="15" s="1"/>
  <c r="L492" i="15"/>
  <c r="AJ133" i="15"/>
  <c r="AK133" i="15"/>
  <c r="AH170" i="15"/>
  <c r="AI170" i="15"/>
  <c r="AJ175" i="15"/>
  <c r="AK175" i="15"/>
  <c r="L534" i="15"/>
  <c r="L533" i="15"/>
  <c r="AJ174" i="15"/>
  <c r="AG147" i="15"/>
  <c r="AJ171" i="15"/>
  <c r="AL171" i="15" s="1"/>
  <c r="AM171" i="15" s="1"/>
  <c r="L530" i="15"/>
  <c r="AL125" i="15"/>
  <c r="AM125" i="15"/>
  <c r="AJ120" i="15"/>
  <c r="L479" i="15"/>
  <c r="AJ168" i="15"/>
  <c r="L527" i="15"/>
  <c r="AJ115" i="15"/>
  <c r="AK115" i="15" s="1"/>
  <c r="L474" i="15"/>
  <c r="L509" i="15"/>
  <c r="AJ150" i="15"/>
  <c r="AL150" i="15" s="1"/>
  <c r="AM150" i="15" s="1"/>
  <c r="L512" i="15"/>
  <c r="AJ153" i="15"/>
  <c r="AK153" i="15"/>
  <c r="AG166" i="15"/>
  <c r="AH166" i="15"/>
  <c r="AI166" i="15" s="1"/>
  <c r="L513" i="15"/>
  <c r="AJ154" i="15"/>
  <c r="AL154" i="15" s="1"/>
  <c r="AK154" i="15"/>
  <c r="AJ169" i="15"/>
  <c r="AL169" i="15" s="1"/>
  <c r="AM169" i="15" s="1"/>
  <c r="L528" i="15"/>
  <c r="AJ127" i="15"/>
  <c r="AK127" i="15"/>
  <c r="L486" i="15"/>
  <c r="L504" i="15"/>
  <c r="AJ145" i="15"/>
  <c r="AK145" i="15"/>
  <c r="L529" i="15"/>
  <c r="AJ170" i="15"/>
  <c r="AJ152" i="15"/>
  <c r="L511" i="15"/>
  <c r="L526" i="15"/>
  <c r="AJ167" i="15"/>
  <c r="AK167" i="15" s="1"/>
  <c r="AJ149" i="15"/>
  <c r="AL149" i="15" s="1"/>
  <c r="AM149" i="15" s="1"/>
  <c r="L508" i="15"/>
  <c r="AJ116" i="15"/>
  <c r="L475" i="15"/>
  <c r="AG168" i="15"/>
  <c r="AH168" i="15"/>
  <c r="AI168" i="15" s="1"/>
  <c r="AF122" i="15"/>
  <c r="K481" i="15"/>
  <c r="AG150" i="15"/>
  <c r="AH150" i="15"/>
  <c r="AI150" i="15"/>
  <c r="AJ123" i="15"/>
  <c r="AK123" i="15"/>
  <c r="L482" i="15"/>
  <c r="AG126" i="15"/>
  <c r="AH126" i="15"/>
  <c r="AI126" i="15"/>
  <c r="AJ166" i="15"/>
  <c r="AL166" i="15" s="1"/>
  <c r="AM166" i="15" s="1"/>
  <c r="L525" i="15"/>
  <c r="AJ128" i="15"/>
  <c r="AK128" i="15" s="1"/>
  <c r="L487" i="15"/>
  <c r="AJ130" i="15"/>
  <c r="AK130" i="15" s="1"/>
  <c r="L489" i="15"/>
  <c r="AJ121" i="15"/>
  <c r="AK121" i="15" s="1"/>
  <c r="L480" i="15"/>
  <c r="AJ148" i="15"/>
  <c r="L507" i="15"/>
  <c r="AJ146" i="15"/>
  <c r="AL146" i="15" s="1"/>
  <c r="AK146" i="15"/>
  <c r="L505" i="15"/>
  <c r="AG149" i="15"/>
  <c r="AH149" i="15"/>
  <c r="AI149" i="15"/>
  <c r="AH165" i="15"/>
  <c r="AI165" i="15"/>
  <c r="AH159" i="15"/>
  <c r="AI159" i="15"/>
  <c r="AF156" i="15"/>
  <c r="AG156" i="15" s="1"/>
  <c r="K515" i="15"/>
  <c r="K535" i="15" s="1"/>
  <c r="K176" i="15" s="1"/>
  <c r="AF176" i="15" s="1"/>
  <c r="AC164" i="15"/>
  <c r="AD164" i="15"/>
  <c r="AE164" i="15"/>
  <c r="AH163" i="15"/>
  <c r="AI163" i="15" s="1"/>
  <c r="L519" i="15"/>
  <c r="AJ160" i="15"/>
  <c r="AK160" i="15"/>
  <c r="L516" i="15"/>
  <c r="AJ157" i="15"/>
  <c r="AK157" i="15"/>
  <c r="AJ165" i="15"/>
  <c r="L524" i="15"/>
  <c r="L520" i="15"/>
  <c r="AJ161" i="15"/>
  <c r="L518" i="15"/>
  <c r="AJ159" i="15"/>
  <c r="AL159" i="15" s="1"/>
  <c r="AM159" i="15" s="1"/>
  <c r="AK159" i="15"/>
  <c r="L521" i="15"/>
  <c r="AJ162" i="15"/>
  <c r="AK162" i="15"/>
  <c r="AC156" i="15"/>
  <c r="K517" i="15"/>
  <c r="AF158" i="15"/>
  <c r="AG158" i="15" s="1"/>
  <c r="AF164" i="15"/>
  <c r="K523" i="15"/>
  <c r="L522" i="15"/>
  <c r="AJ163" i="15"/>
  <c r="AK163" i="15"/>
  <c r="AG137" i="15"/>
  <c r="AH137" i="15"/>
  <c r="AI137" i="15" s="1"/>
  <c r="K497" i="15"/>
  <c r="AF138" i="15"/>
  <c r="AH138" i="15" s="1"/>
  <c r="AI138" i="15" s="1"/>
  <c r="AG138" i="15"/>
  <c r="L503" i="15"/>
  <c r="AJ144" i="15"/>
  <c r="AK144" i="15"/>
  <c r="L500" i="15"/>
  <c r="AJ141" i="15"/>
  <c r="AK141" i="15"/>
  <c r="L498" i="15"/>
  <c r="AJ139" i="15"/>
  <c r="AK139" i="15" s="1"/>
  <c r="L501" i="15"/>
  <c r="AJ142" i="15"/>
  <c r="AK142" i="15"/>
  <c r="L502" i="15"/>
  <c r="AJ143" i="15"/>
  <c r="L496" i="15"/>
  <c r="AJ137" i="15"/>
  <c r="AG143" i="15"/>
  <c r="AH143" i="15"/>
  <c r="AI143" i="15" s="1"/>
  <c r="L499" i="15"/>
  <c r="AJ140" i="15"/>
  <c r="AK140" i="15"/>
  <c r="AF94" i="15"/>
  <c r="AH94" i="15" s="1"/>
  <c r="AI94" i="15" s="1"/>
  <c r="AG94" i="15"/>
  <c r="K453" i="15"/>
  <c r="AJ110" i="15"/>
  <c r="AK110" i="15" s="1"/>
  <c r="L469" i="15"/>
  <c r="AF111" i="15"/>
  <c r="AG111" i="15" s="1"/>
  <c r="K470" i="15"/>
  <c r="AG106" i="15"/>
  <c r="AG97" i="15"/>
  <c r="AH97" i="15"/>
  <c r="AI97" i="15" s="1"/>
  <c r="AF105" i="15"/>
  <c r="AH105" i="15" s="1"/>
  <c r="AI105" i="15" s="1"/>
  <c r="K464" i="15"/>
  <c r="AJ109" i="15"/>
  <c r="AK109" i="15" s="1"/>
  <c r="L468" i="15"/>
  <c r="AJ95" i="15"/>
  <c r="AK95" i="15" s="1"/>
  <c r="L454" i="15"/>
  <c r="L471" i="15"/>
  <c r="AJ112" i="15"/>
  <c r="AK112" i="15" s="1"/>
  <c r="L459" i="15"/>
  <c r="AJ100" i="15"/>
  <c r="AK100" i="15" s="1"/>
  <c r="AJ96" i="15"/>
  <c r="AK96" i="15" s="1"/>
  <c r="L455" i="15"/>
  <c r="AJ104" i="15"/>
  <c r="AK104" i="15" s="1"/>
  <c r="L463" i="15"/>
  <c r="L467" i="15"/>
  <c r="AJ108" i="15"/>
  <c r="L456" i="15"/>
  <c r="AJ97" i="15"/>
  <c r="AL97" i="15" s="1"/>
  <c r="AM97" i="15" s="1"/>
  <c r="AJ102" i="15"/>
  <c r="L461" i="15"/>
  <c r="AJ103" i="15"/>
  <c r="AK103" i="15"/>
  <c r="L462" i="15"/>
  <c r="AL101" i="15"/>
  <c r="AM101" i="15" s="1"/>
  <c r="AJ106" i="15"/>
  <c r="AK106" i="15" s="1"/>
  <c r="L465" i="15"/>
  <c r="AJ107" i="15"/>
  <c r="AK107" i="15" s="1"/>
  <c r="L466" i="15"/>
  <c r="AH107" i="15"/>
  <c r="AI107" i="15" s="1"/>
  <c r="AH113" i="15"/>
  <c r="AI113" i="15" s="1"/>
  <c r="L472" i="15"/>
  <c r="AJ113" i="15"/>
  <c r="AK113" i="15" s="1"/>
  <c r="AJ99" i="15"/>
  <c r="AK99" i="15" s="1"/>
  <c r="L458" i="15"/>
  <c r="AH108" i="15"/>
  <c r="AI108" i="15" s="1"/>
  <c r="AC105" i="15"/>
  <c r="AD105" i="15"/>
  <c r="AE105" i="15"/>
  <c r="AJ72" i="15"/>
  <c r="AK72" i="15" s="1"/>
  <c r="L431" i="15"/>
  <c r="AH77" i="15"/>
  <c r="AI77" i="15"/>
  <c r="AJ75" i="15"/>
  <c r="L434" i="15"/>
  <c r="AG66" i="15"/>
  <c r="AH66" i="15"/>
  <c r="AI66" i="15" s="1"/>
  <c r="AH70" i="15"/>
  <c r="AI70" i="15" s="1"/>
  <c r="L430" i="15"/>
  <c r="AJ71" i="15"/>
  <c r="AL71" i="15" s="1"/>
  <c r="AM71" i="15" s="1"/>
  <c r="AJ73" i="15"/>
  <c r="L432" i="15"/>
  <c r="AJ69" i="15"/>
  <c r="AL69" i="15" s="1"/>
  <c r="AM69" i="15" s="1"/>
  <c r="L428" i="15"/>
  <c r="L421" i="15"/>
  <c r="AJ62" i="15"/>
  <c r="AK62" i="15" s="1"/>
  <c r="AJ63" i="15"/>
  <c r="AL63" i="15" s="1"/>
  <c r="AM63" i="15" s="1"/>
  <c r="L422" i="15"/>
  <c r="L419" i="15"/>
  <c r="AJ60" i="15"/>
  <c r="AL60" i="15" s="1"/>
  <c r="AM60" i="15" s="1"/>
  <c r="AG74" i="15"/>
  <c r="AH74" i="15"/>
  <c r="AI74" i="15" s="1"/>
  <c r="AG76" i="15"/>
  <c r="AH76" i="15"/>
  <c r="AI76" i="15" s="1"/>
  <c r="AJ70" i="15"/>
  <c r="L429" i="15"/>
  <c r="AH73" i="15"/>
  <c r="AI73" i="15" s="1"/>
  <c r="AJ61" i="15"/>
  <c r="AL61" i="15" s="1"/>
  <c r="L420" i="15"/>
  <c r="L436" i="15"/>
  <c r="AJ77" i="15"/>
  <c r="AJ66" i="15"/>
  <c r="L425" i="15"/>
  <c r="AH64" i="15"/>
  <c r="AI64" i="15" s="1"/>
  <c r="AH65" i="15"/>
  <c r="AI65" i="15"/>
  <c r="AJ74" i="15"/>
  <c r="L433" i="15"/>
  <c r="AJ67" i="15"/>
  <c r="AL67" i="15" s="1"/>
  <c r="AM67" i="15" s="1"/>
  <c r="L426" i="15"/>
  <c r="L435" i="15"/>
  <c r="AJ76" i="15"/>
  <c r="L424" i="15"/>
  <c r="AJ65" i="15"/>
  <c r="AK65" i="15" s="1"/>
  <c r="AG75" i="15"/>
  <c r="AH75" i="15"/>
  <c r="AI75" i="15" s="1"/>
  <c r="L427" i="15"/>
  <c r="AJ68" i="15"/>
  <c r="AL68" i="15" s="1"/>
  <c r="AH60" i="15"/>
  <c r="AI60" i="15" s="1"/>
  <c r="AH63" i="15"/>
  <c r="AI63" i="15" s="1"/>
  <c r="L423" i="15"/>
  <c r="AJ64" i="15"/>
  <c r="AL64" i="15" s="1"/>
  <c r="AM64" i="15" s="1"/>
  <c r="Y259" i="15"/>
  <c r="Z259" i="15"/>
  <c r="AA259" i="15" s="1"/>
  <c r="AC248" i="15"/>
  <c r="AD248" i="15"/>
  <c r="AE248" i="15"/>
  <c r="K614" i="15"/>
  <c r="AF257" i="15"/>
  <c r="AG257" i="15" s="1"/>
  <c r="J616" i="15"/>
  <c r="AB259" i="15"/>
  <c r="AD259" i="15" s="1"/>
  <c r="AE259" i="15" s="1"/>
  <c r="AH145" i="15"/>
  <c r="AH132" i="15"/>
  <c r="AI132" i="15"/>
  <c r="Y253" i="15"/>
  <c r="Z253" i="15"/>
  <c r="AA253" i="15" s="1"/>
  <c r="AB242" i="15"/>
  <c r="AD242" i="15" s="1"/>
  <c r="AE242" i="15" s="1"/>
  <c r="J599" i="15"/>
  <c r="AF248" i="15"/>
  <c r="AH248" i="15" s="1"/>
  <c r="AI248" i="15" s="1"/>
  <c r="K605" i="15"/>
  <c r="J610" i="15"/>
  <c r="AB253" i="15"/>
  <c r="Y242" i="15"/>
  <c r="Z242" i="15"/>
  <c r="AA242" i="15"/>
  <c r="AC257" i="15"/>
  <c r="AD257" i="15"/>
  <c r="AE257" i="15"/>
  <c r="Y250" i="15"/>
  <c r="Z250" i="15"/>
  <c r="AA250" i="15"/>
  <c r="J570" i="15"/>
  <c r="AB213" i="15"/>
  <c r="AD213" i="15" s="1"/>
  <c r="AE213" i="15" s="1"/>
  <c r="AC243" i="15"/>
  <c r="AD243" i="15"/>
  <c r="AE243" i="15"/>
  <c r="AD301" i="15"/>
  <c r="AE301" i="15" s="1"/>
  <c r="AC301" i="15"/>
  <c r="AF271" i="15"/>
  <c r="K628" i="15"/>
  <c r="AG254" i="15"/>
  <c r="AH254" i="15"/>
  <c r="AI254" i="15"/>
  <c r="AC292" i="15"/>
  <c r="AF276" i="15"/>
  <c r="AG276" i="15" s="1"/>
  <c r="K633" i="15"/>
  <c r="AD251" i="15"/>
  <c r="AE251" i="15"/>
  <c r="AJ249" i="15"/>
  <c r="L606" i="15"/>
  <c r="AL173" i="15"/>
  <c r="AM173" i="15"/>
  <c r="AG258" i="15"/>
  <c r="AH258" i="15"/>
  <c r="AI258" i="15" s="1"/>
  <c r="AF252" i="15"/>
  <c r="AG252" i="15" s="1"/>
  <c r="K609" i="15"/>
  <c r="AF280" i="15"/>
  <c r="AG280" i="15" s="1"/>
  <c r="K637" i="15"/>
  <c r="AD293" i="15"/>
  <c r="AE293" i="15" s="1"/>
  <c r="AC300" i="15"/>
  <c r="AD300" i="15"/>
  <c r="AE300" i="15"/>
  <c r="K631" i="15"/>
  <c r="AF274" i="15"/>
  <c r="AG274" i="15" s="1"/>
  <c r="AB250" i="15"/>
  <c r="AC250" i="15" s="1"/>
  <c r="J607" i="15"/>
  <c r="AH118" i="15"/>
  <c r="AI118" i="15" s="1"/>
  <c r="AL127" i="15"/>
  <c r="AM127" i="15" s="1"/>
  <c r="AF251" i="15"/>
  <c r="AH251" i="15" s="1"/>
  <c r="AI251" i="15" s="1"/>
  <c r="K608" i="15"/>
  <c r="AC273" i="15"/>
  <c r="AJ258" i="15"/>
  <c r="AK258" i="15" s="1"/>
  <c r="L615" i="15"/>
  <c r="K636" i="15"/>
  <c r="AF279" i="15"/>
  <c r="Y247" i="15"/>
  <c r="AD277" i="15"/>
  <c r="AE277" i="15" s="1"/>
  <c r="AD280" i="15"/>
  <c r="AE280" i="15"/>
  <c r="AH245" i="15"/>
  <c r="AI245" i="15"/>
  <c r="AC294" i="15"/>
  <c r="AB256" i="15"/>
  <c r="J613" i="15"/>
  <c r="AF243" i="15"/>
  <c r="AH243" i="15" s="1"/>
  <c r="AI243" i="15" s="1"/>
  <c r="K600" i="15"/>
  <c r="Y213" i="15"/>
  <c r="Z213" i="15"/>
  <c r="AA213" i="15" s="1"/>
  <c r="AF301" i="15"/>
  <c r="K658" i="15"/>
  <c r="AD296" i="15"/>
  <c r="AE296" i="15"/>
  <c r="K635" i="15"/>
  <c r="AF278" i="15"/>
  <c r="AH278" i="15" s="1"/>
  <c r="AI278" i="15" s="1"/>
  <c r="AF275" i="15"/>
  <c r="AH275" i="15" s="1"/>
  <c r="AI275" i="15" s="1"/>
  <c r="K632" i="15"/>
  <c r="AH154" i="15"/>
  <c r="AI154" i="15"/>
  <c r="K652" i="15"/>
  <c r="AF295" i="15"/>
  <c r="AG295" i="15" s="1"/>
  <c r="AC276" i="15"/>
  <c r="AD276" i="15"/>
  <c r="AE276" i="15" s="1"/>
  <c r="AG249" i="15"/>
  <c r="AH249" i="15"/>
  <c r="AI249" i="15" s="1"/>
  <c r="AF273" i="15"/>
  <c r="AG273" i="15" s="1"/>
  <c r="K630" i="15"/>
  <c r="AF297" i="15"/>
  <c r="AH297" i="15" s="1"/>
  <c r="AI297" i="15" s="1"/>
  <c r="K654" i="15"/>
  <c r="AD279" i="15"/>
  <c r="AE279" i="15" s="1"/>
  <c r="AC279" i="15"/>
  <c r="K629" i="15"/>
  <c r="AF272" i="15"/>
  <c r="AG272" i="15" s="1"/>
  <c r="J604" i="15"/>
  <c r="AB247" i="15"/>
  <c r="AC252" i="15"/>
  <c r="AD252" i="15"/>
  <c r="AE252" i="15" s="1"/>
  <c r="AL124" i="15"/>
  <c r="AM124" i="15"/>
  <c r="AF300" i="15"/>
  <c r="AG300" i="15" s="1"/>
  <c r="K657" i="15"/>
  <c r="K651" i="15"/>
  <c r="AF294" i="15"/>
  <c r="AH294" i="15" s="1"/>
  <c r="AI294" i="15" s="1"/>
  <c r="AF296" i="15"/>
  <c r="K653" i="15"/>
  <c r="AJ254" i="15"/>
  <c r="AK254" i="15" s="1"/>
  <c r="L611" i="15"/>
  <c r="AF292" i="15"/>
  <c r="AG292" i="15" s="1"/>
  <c r="K649" i="15"/>
  <c r="AD271" i="15"/>
  <c r="AE271" i="15"/>
  <c r="AC271" i="15"/>
  <c r="AH146" i="15"/>
  <c r="AI146" i="15"/>
  <c r="AL167" i="15"/>
  <c r="AM167" i="15"/>
  <c r="AL153" i="15"/>
  <c r="AM153" i="15"/>
  <c r="AD275" i="15"/>
  <c r="AE275" i="15"/>
  <c r="AC275" i="15"/>
  <c r="AE295" i="15"/>
  <c r="AF299" i="15"/>
  <c r="AG299" i="15" s="1"/>
  <c r="K656" i="15"/>
  <c r="AL175" i="15"/>
  <c r="AM175" i="15"/>
  <c r="AC297" i="15"/>
  <c r="AL119" i="15"/>
  <c r="AM119" i="15" s="1"/>
  <c r="AH130" i="15"/>
  <c r="AI130" i="15"/>
  <c r="AH121" i="15"/>
  <c r="AC272" i="15"/>
  <c r="AD272" i="15"/>
  <c r="AE272" i="15"/>
  <c r="AF277" i="15"/>
  <c r="K634" i="15"/>
  <c r="K650" i="15"/>
  <c r="AF293" i="15"/>
  <c r="AH293" i="15" s="1"/>
  <c r="AI293" i="15" s="1"/>
  <c r="AJ245" i="15"/>
  <c r="L602" i="15"/>
  <c r="AD274" i="15"/>
  <c r="AE274" i="15"/>
  <c r="K655" i="15"/>
  <c r="AF298" i="15"/>
  <c r="AL151" i="15"/>
  <c r="AM151" i="15"/>
  <c r="AH160" i="15"/>
  <c r="AI160" i="15" s="1"/>
  <c r="AE160" i="15"/>
  <c r="AC285" i="15"/>
  <c r="AD285" i="15"/>
  <c r="AE285" i="15" s="1"/>
  <c r="Z283" i="15"/>
  <c r="AA283" i="15"/>
  <c r="AF289" i="15"/>
  <c r="K646" i="15"/>
  <c r="AC290" i="15"/>
  <c r="AD290" i="15"/>
  <c r="AE290" i="15" s="1"/>
  <c r="AH162" i="15"/>
  <c r="AI162" i="15" s="1"/>
  <c r="J644" i="15"/>
  <c r="AB287" i="15"/>
  <c r="AD287" i="15" s="1"/>
  <c r="AB283" i="15"/>
  <c r="J640" i="15"/>
  <c r="AF290" i="15"/>
  <c r="AG290" i="15" s="1"/>
  <c r="K647" i="15"/>
  <c r="K642" i="15"/>
  <c r="AF285" i="15"/>
  <c r="AC286" i="15"/>
  <c r="AD286" i="15"/>
  <c r="AE286" i="15" s="1"/>
  <c r="AF291" i="15"/>
  <c r="K648" i="15"/>
  <c r="AC282" i="15"/>
  <c r="AH157" i="15"/>
  <c r="AI157" i="15" s="1"/>
  <c r="AF286" i="15"/>
  <c r="AG286" i="15" s="1"/>
  <c r="K643" i="15"/>
  <c r="Z284" i="15"/>
  <c r="AA284" i="15" s="1"/>
  <c r="Y284" i="15"/>
  <c r="Z288" i="15"/>
  <c r="AA288" i="15" s="1"/>
  <c r="AC291" i="15"/>
  <c r="Y287" i="15"/>
  <c r="Z287" i="15"/>
  <c r="AA287" i="15"/>
  <c r="AH161" i="15"/>
  <c r="AI161" i="15" s="1"/>
  <c r="AC289" i="15"/>
  <c r="AD289" i="15"/>
  <c r="AE289" i="15"/>
  <c r="K639" i="15"/>
  <c r="AF282" i="15"/>
  <c r="AB284" i="15"/>
  <c r="J641" i="15"/>
  <c r="J645" i="15"/>
  <c r="AB288" i="15"/>
  <c r="AD288" i="15" s="1"/>
  <c r="AE288" i="15" s="1"/>
  <c r="AH102" i="15"/>
  <c r="AI102" i="15" s="1"/>
  <c r="AJ231" i="15"/>
  <c r="L588" i="15"/>
  <c r="J577" i="15"/>
  <c r="AB220" i="15"/>
  <c r="J596" i="15"/>
  <c r="AB239" i="15"/>
  <c r="AD239" i="15" s="1"/>
  <c r="AE239" i="15" s="1"/>
  <c r="AE112" i="15"/>
  <c r="AH112" i="15"/>
  <c r="AI112" i="15" s="1"/>
  <c r="AF222" i="15"/>
  <c r="K579" i="15"/>
  <c r="AH95" i="15"/>
  <c r="AI95" i="15" s="1"/>
  <c r="J591" i="15"/>
  <c r="AB234" i="15"/>
  <c r="AD234" i="15" s="1"/>
  <c r="AE234" i="15" s="1"/>
  <c r="J592" i="15"/>
  <c r="AB235" i="15"/>
  <c r="K594" i="15"/>
  <c r="AF237" i="15"/>
  <c r="AH237" i="15" s="1"/>
  <c r="AI237" i="15" s="1"/>
  <c r="J587" i="15"/>
  <c r="AB230" i="15"/>
  <c r="AD230" i="15" s="1"/>
  <c r="AE230" i="15" s="1"/>
  <c r="AB226" i="15"/>
  <c r="J583" i="15"/>
  <c r="AH109" i="15"/>
  <c r="AI109" i="15" s="1"/>
  <c r="AC229" i="15"/>
  <c r="AD229" i="15"/>
  <c r="AE229" i="15" s="1"/>
  <c r="AB238" i="15"/>
  <c r="AD238" i="15" s="1"/>
  <c r="AE238" i="15" s="1"/>
  <c r="J595" i="15"/>
  <c r="AC222" i="15"/>
  <c r="AH231" i="15"/>
  <c r="AI231" i="15" s="1"/>
  <c r="AD225" i="15"/>
  <c r="AE225" i="15"/>
  <c r="AC225" i="15"/>
  <c r="AA239" i="15"/>
  <c r="AD237" i="15"/>
  <c r="AE237" i="15" s="1"/>
  <c r="AC237" i="15"/>
  <c r="K586" i="15"/>
  <c r="AF229" i="15"/>
  <c r="Y230" i="15"/>
  <c r="Z230" i="15"/>
  <c r="AA230" i="15"/>
  <c r="AH98" i="15"/>
  <c r="AI98" i="15" s="1"/>
  <c r="AA234" i="15"/>
  <c r="Y234" i="15"/>
  <c r="Y235" i="15"/>
  <c r="Y226" i="15"/>
  <c r="Z226" i="15"/>
  <c r="AA226" i="15" s="1"/>
  <c r="K582" i="15"/>
  <c r="AF225" i="15"/>
  <c r="AG225" i="15" s="1"/>
  <c r="AH110" i="15"/>
  <c r="AI110" i="15" s="1"/>
  <c r="AH72" i="15"/>
  <c r="AI72" i="15" s="1"/>
  <c r="AF197" i="15"/>
  <c r="K554" i="15"/>
  <c r="AD194" i="15"/>
  <c r="AE194" i="15" s="1"/>
  <c r="AD192" i="15"/>
  <c r="AE192" i="15"/>
  <c r="K545" i="15"/>
  <c r="AF188" i="15"/>
  <c r="AH188" i="15" s="1"/>
  <c r="AI188" i="15" s="1"/>
  <c r="K546" i="15"/>
  <c r="AF189" i="15"/>
  <c r="AF191" i="15"/>
  <c r="K548" i="15"/>
  <c r="AD195" i="15"/>
  <c r="AE195" i="15" s="1"/>
  <c r="AC198" i="15"/>
  <c r="AD198" i="15"/>
  <c r="AE198" i="15" s="1"/>
  <c r="AC196" i="15"/>
  <c r="AD196" i="15"/>
  <c r="AE196" i="15"/>
  <c r="AE188" i="15"/>
  <c r="AC200" i="15"/>
  <c r="AD200" i="15"/>
  <c r="AE200" i="15"/>
  <c r="AC193" i="15"/>
  <c r="AD193" i="15"/>
  <c r="AE193" i="15" s="1"/>
  <c r="K547" i="15"/>
  <c r="AF190" i="15"/>
  <c r="K555" i="15"/>
  <c r="AF198" i="15"/>
  <c r="AG198" i="15" s="1"/>
  <c r="K557" i="15"/>
  <c r="AF200" i="15"/>
  <c r="AF201" i="15"/>
  <c r="AH201" i="15" s="1"/>
  <c r="AI201" i="15" s="1"/>
  <c r="K558" i="15"/>
  <c r="AD187" i="15"/>
  <c r="AE187" i="15" s="1"/>
  <c r="AC187" i="15"/>
  <c r="K552" i="15"/>
  <c r="AF195" i="15"/>
  <c r="AG195" i="15" s="1"/>
  <c r="AC186" i="15"/>
  <c r="AC201" i="15"/>
  <c r="AD203" i="15"/>
  <c r="AE203" i="15" s="1"/>
  <c r="AC203" i="15"/>
  <c r="K544" i="15"/>
  <c r="AF187" i="15"/>
  <c r="AH187" i="15" s="1"/>
  <c r="AI187" i="15" s="1"/>
  <c r="AC199" i="15"/>
  <c r="AD199" i="15"/>
  <c r="AE199" i="15"/>
  <c r="AF202" i="15"/>
  <c r="AG202" i="15" s="1"/>
  <c r="K559" i="15"/>
  <c r="K549" i="15"/>
  <c r="AF192" i="15"/>
  <c r="K550" i="15"/>
  <c r="AF193" i="15"/>
  <c r="AH193" i="15" s="1"/>
  <c r="AF203" i="15"/>
  <c r="K560" i="15"/>
  <c r="AD197" i="15"/>
  <c r="AE197" i="15" s="1"/>
  <c r="K553" i="15"/>
  <c r="AF196" i="15"/>
  <c r="AC190" i="15"/>
  <c r="K543" i="15"/>
  <c r="AF186" i="15"/>
  <c r="AH186" i="15" s="1"/>
  <c r="AI186" i="15" s="1"/>
  <c r="AF199" i="15"/>
  <c r="K556" i="15"/>
  <c r="AF194" i="15"/>
  <c r="K551" i="15"/>
  <c r="AC202" i="15"/>
  <c r="AD202" i="15"/>
  <c r="AE202" i="15" s="1"/>
  <c r="AC191" i="15"/>
  <c r="AM68" i="15"/>
  <c r="K590" i="15"/>
  <c r="AF233" i="15"/>
  <c r="AH233" i="15" s="1"/>
  <c r="AI233" i="15" s="1"/>
  <c r="AF228" i="15"/>
  <c r="AG228" i="15" s="1"/>
  <c r="K585" i="15"/>
  <c r="AE232" i="15"/>
  <c r="AC221" i="15"/>
  <c r="AC236" i="15"/>
  <c r="AD236" i="15"/>
  <c r="AE236" i="15" s="1"/>
  <c r="AC224" i="15"/>
  <c r="AD224" i="15"/>
  <c r="AE224" i="15" s="1"/>
  <c r="K581" i="15"/>
  <c r="AF224" i="15"/>
  <c r="AF232" i="15"/>
  <c r="AH232" i="15" s="1"/>
  <c r="AI232" i="15" s="1"/>
  <c r="K589" i="15"/>
  <c r="AC228" i="15"/>
  <c r="AD228" i="15"/>
  <c r="AE228" i="15"/>
  <c r="K593" i="15"/>
  <c r="AF236" i="15"/>
  <c r="AH236" i="15" s="1"/>
  <c r="AI236" i="15" s="1"/>
  <c r="AF221" i="15"/>
  <c r="K578" i="15"/>
  <c r="AL141" i="15"/>
  <c r="AM141" i="15"/>
  <c r="AB270" i="15"/>
  <c r="J627" i="15"/>
  <c r="Y270" i="15"/>
  <c r="Z270" i="15"/>
  <c r="AA270" i="15" s="1"/>
  <c r="AD269" i="15"/>
  <c r="AE269" i="15"/>
  <c r="K626" i="15"/>
  <c r="AF269" i="15"/>
  <c r="AH269" i="15" s="1"/>
  <c r="AI269" i="15" s="1"/>
  <c r="AB268" i="15"/>
  <c r="AC268" i="15" s="1"/>
  <c r="J625" i="15"/>
  <c r="Z268" i="15"/>
  <c r="AA268" i="15" s="1"/>
  <c r="AH142" i="15"/>
  <c r="K624" i="15"/>
  <c r="AF267" i="15"/>
  <c r="AH267" i="15" s="1"/>
  <c r="AI267" i="15" s="1"/>
  <c r="AD267" i="15"/>
  <c r="AE267" i="15" s="1"/>
  <c r="AC267" i="15"/>
  <c r="AB266" i="15"/>
  <c r="AC266" i="15" s="1"/>
  <c r="J623" i="15"/>
  <c r="Y266" i="15"/>
  <c r="Z266" i="15"/>
  <c r="AA266" i="15" s="1"/>
  <c r="X265" i="15"/>
  <c r="Y265" i="15" s="1"/>
  <c r="I622" i="15"/>
  <c r="AD139" i="15"/>
  <c r="AE139" i="15" s="1"/>
  <c r="U265" i="15"/>
  <c r="V265" i="15"/>
  <c r="W265" i="15"/>
  <c r="AB264" i="15"/>
  <c r="J621" i="15"/>
  <c r="Y264" i="15"/>
  <c r="Z264" i="15"/>
  <c r="AA264" i="15" s="1"/>
  <c r="AC263" i="15"/>
  <c r="AF263" i="15"/>
  <c r="AH263" i="15" s="1"/>
  <c r="AI263" i="15" s="1"/>
  <c r="K620" i="15"/>
  <c r="M67" i="19"/>
  <c r="M87" i="19" s="1"/>
  <c r="AL107" i="15"/>
  <c r="AM107" i="15" s="1"/>
  <c r="AL103" i="15"/>
  <c r="AM103" i="15" s="1"/>
  <c r="AL99" i="15"/>
  <c r="AM99" i="15" s="1"/>
  <c r="AL123" i="15"/>
  <c r="AM123" i="15" s="1"/>
  <c r="AK171" i="15"/>
  <c r="AK147" i="15"/>
  <c r="AL147" i="15"/>
  <c r="AM147" i="15" s="1"/>
  <c r="AH129" i="15"/>
  <c r="AI129" i="15" s="1"/>
  <c r="AK148" i="15"/>
  <c r="AL148" i="15"/>
  <c r="AM148" i="15"/>
  <c r="AK150" i="15"/>
  <c r="AK149" i="15"/>
  <c r="AK152" i="15"/>
  <c r="AL152" i="15"/>
  <c r="AM152" i="15" s="1"/>
  <c r="AK168" i="15"/>
  <c r="AL168" i="15"/>
  <c r="AM168" i="15"/>
  <c r="AL128" i="15"/>
  <c r="AM128" i="15"/>
  <c r="AK166" i="15"/>
  <c r="AJ122" i="15"/>
  <c r="L481" i="15"/>
  <c r="AK174" i="15"/>
  <c r="AL174" i="15"/>
  <c r="AM174" i="15" s="1"/>
  <c r="AJ129" i="15"/>
  <c r="AL129" i="15" s="1"/>
  <c r="AM129" i="15" s="1"/>
  <c r="L488" i="15"/>
  <c r="AK126" i="15"/>
  <c r="AK172" i="15"/>
  <c r="AL172" i="15"/>
  <c r="AM172" i="15" s="1"/>
  <c r="AG164" i="15"/>
  <c r="AH164" i="15"/>
  <c r="AI164" i="15"/>
  <c r="L517" i="15"/>
  <c r="L535" i="15" s="1"/>
  <c r="L176" i="15" s="1"/>
  <c r="AJ158" i="15"/>
  <c r="AH156" i="15"/>
  <c r="AI156" i="15"/>
  <c r="AL163" i="15"/>
  <c r="AM163" i="15"/>
  <c r="AJ164" i="15"/>
  <c r="AL164" i="15" s="1"/>
  <c r="AM164" i="15" s="1"/>
  <c r="L523" i="15"/>
  <c r="L515" i="15"/>
  <c r="AJ156" i="15"/>
  <c r="AK143" i="15"/>
  <c r="AL143" i="15"/>
  <c r="AM143" i="15" s="1"/>
  <c r="AK137" i="15"/>
  <c r="AL137" i="15"/>
  <c r="AM137" i="15"/>
  <c r="L497" i="15"/>
  <c r="AJ138" i="15"/>
  <c r="AK138" i="15"/>
  <c r="L453" i="15"/>
  <c r="AJ94" i="15"/>
  <c r="AK94" i="15" s="1"/>
  <c r="L464" i="15"/>
  <c r="AJ105" i="15"/>
  <c r="AK105" i="15" s="1"/>
  <c r="AJ111" i="15"/>
  <c r="AL111" i="15" s="1"/>
  <c r="AM111" i="15" s="1"/>
  <c r="L470" i="15"/>
  <c r="AH111" i="15"/>
  <c r="AI111" i="15"/>
  <c r="AK97" i="15"/>
  <c r="AK67" i="15"/>
  <c r="AK77" i="15"/>
  <c r="AL77" i="15"/>
  <c r="AM77" i="15"/>
  <c r="AK70" i="15"/>
  <c r="AL70" i="15"/>
  <c r="AM70" i="15"/>
  <c r="AK63" i="15"/>
  <c r="AK75" i="15"/>
  <c r="AL75" i="15"/>
  <c r="AM75" i="15" s="1"/>
  <c r="AK74" i="15"/>
  <c r="AL74" i="15"/>
  <c r="AM74" i="15"/>
  <c r="AK60" i="15"/>
  <c r="AL62" i="15"/>
  <c r="AM62" i="15" s="1"/>
  <c r="AK71" i="15"/>
  <c r="AK76" i="15"/>
  <c r="AL76" i="15"/>
  <c r="AM76" i="15" s="1"/>
  <c r="AK64" i="15"/>
  <c r="AK66" i="15"/>
  <c r="AL66" i="15"/>
  <c r="AM66" i="15" s="1"/>
  <c r="AM61" i="15"/>
  <c r="AK69" i="15"/>
  <c r="AL133" i="15"/>
  <c r="AM133" i="15"/>
  <c r="AJ248" i="15"/>
  <c r="L605" i="15"/>
  <c r="AL132" i="15"/>
  <c r="AM132" i="15"/>
  <c r="AI145" i="15"/>
  <c r="AL145" i="15"/>
  <c r="AM145" i="15"/>
  <c r="AF259" i="15"/>
  <c r="K616" i="15"/>
  <c r="AC253" i="15"/>
  <c r="AD253" i="15"/>
  <c r="AE253" i="15"/>
  <c r="AH257" i="15"/>
  <c r="AI257" i="15"/>
  <c r="AC242" i="15"/>
  <c r="AC259" i="15"/>
  <c r="AF253" i="15"/>
  <c r="K610" i="15"/>
  <c r="AG248" i="15"/>
  <c r="K599" i="15"/>
  <c r="AF242" i="15"/>
  <c r="L614" i="15"/>
  <c r="AJ257" i="15"/>
  <c r="AL257" i="15" s="1"/>
  <c r="AM257" i="15" s="1"/>
  <c r="AK245" i="15"/>
  <c r="AL245" i="15"/>
  <c r="AM245" i="15"/>
  <c r="L634" i="15"/>
  <c r="AJ277" i="15"/>
  <c r="AM146" i="15"/>
  <c r="L649" i="15"/>
  <c r="AJ292" i="15"/>
  <c r="AJ296" i="15"/>
  <c r="AK296" i="15" s="1"/>
  <c r="L653" i="15"/>
  <c r="L657" i="15"/>
  <c r="AJ300" i="15"/>
  <c r="AJ297" i="15"/>
  <c r="L654" i="15"/>
  <c r="L630" i="15"/>
  <c r="AJ273" i="15"/>
  <c r="L652" i="15"/>
  <c r="AJ295" i="15"/>
  <c r="AL295" i="15" s="1"/>
  <c r="AM295" i="15" s="1"/>
  <c r="AJ275" i="15"/>
  <c r="AK275" i="15" s="1"/>
  <c r="L632" i="15"/>
  <c r="L635" i="15"/>
  <c r="AJ278" i="15"/>
  <c r="AK278" i="15" s="1"/>
  <c r="AG243" i="15"/>
  <c r="AF256" i="15"/>
  <c r="AH256" i="15" s="1"/>
  <c r="AI256" i="15" s="1"/>
  <c r="K613" i="15"/>
  <c r="AJ251" i="15"/>
  <c r="L608" i="15"/>
  <c r="AL117" i="15"/>
  <c r="AM117" i="15" s="1"/>
  <c r="AH274" i="15"/>
  <c r="AI274" i="15"/>
  <c r="AJ280" i="15"/>
  <c r="AL280" i="15" s="1"/>
  <c r="AM280" i="15" s="1"/>
  <c r="L637" i="15"/>
  <c r="AJ252" i="15"/>
  <c r="AK252" i="15" s="1"/>
  <c r="L609" i="15"/>
  <c r="L633" i="15"/>
  <c r="AJ276" i="15"/>
  <c r="AJ298" i="15"/>
  <c r="L655" i="15"/>
  <c r="AI121" i="15"/>
  <c r="AJ208" i="15"/>
  <c r="L565" i="15"/>
  <c r="L562" i="15"/>
  <c r="AJ205" i="15"/>
  <c r="AL205" i="15" s="1"/>
  <c r="AM205" i="15" s="1"/>
  <c r="AG301" i="15"/>
  <c r="AH301" i="15"/>
  <c r="AI301" i="15" s="1"/>
  <c r="AJ243" i="15"/>
  <c r="L600" i="15"/>
  <c r="L636" i="15"/>
  <c r="AJ279" i="15"/>
  <c r="AJ274" i="15"/>
  <c r="AK274" i="15" s="1"/>
  <c r="L631" i="15"/>
  <c r="AH280" i="15"/>
  <c r="AI280" i="15"/>
  <c r="AH276" i="15"/>
  <c r="AI276" i="15" s="1"/>
  <c r="AG271" i="15"/>
  <c r="AH271" i="15"/>
  <c r="AI271" i="15" s="1"/>
  <c r="K570" i="15"/>
  <c r="AF213" i="15"/>
  <c r="AF247" i="15"/>
  <c r="AG247" i="15" s="1"/>
  <c r="K604" i="15"/>
  <c r="AG297" i="15"/>
  <c r="AH277" i="15"/>
  <c r="AI277" i="15" s="1"/>
  <c r="AG277" i="15"/>
  <c r="L656" i="15"/>
  <c r="AJ299" i="15"/>
  <c r="AL299" i="15" s="1"/>
  <c r="AM299" i="15" s="1"/>
  <c r="AH300" i="15"/>
  <c r="AI300" i="15"/>
  <c r="AH272" i="15"/>
  <c r="AI272" i="15" s="1"/>
  <c r="AM154" i="15"/>
  <c r="AG275" i="15"/>
  <c r="AJ301" i="15"/>
  <c r="AK301" i="15" s="1"/>
  <c r="L658" i="15"/>
  <c r="AD250" i="15"/>
  <c r="AE250" i="15"/>
  <c r="AK249" i="15"/>
  <c r="AL249" i="15"/>
  <c r="AM249" i="15"/>
  <c r="L628" i="15"/>
  <c r="AJ271" i="15"/>
  <c r="AG294" i="15"/>
  <c r="AG298" i="15"/>
  <c r="AH298" i="15"/>
  <c r="AI298" i="15"/>
  <c r="AJ210" i="15"/>
  <c r="AL210" i="15" s="1"/>
  <c r="AM210" i="15" s="1"/>
  <c r="L567" i="15"/>
  <c r="AJ293" i="15"/>
  <c r="L650" i="15"/>
  <c r="AL130" i="15"/>
  <c r="AM130" i="15" s="1"/>
  <c r="AL254" i="15"/>
  <c r="AM254" i="15"/>
  <c r="L651" i="15"/>
  <c r="AJ294" i="15"/>
  <c r="AC247" i="15"/>
  <c r="AD247" i="15"/>
  <c r="AE247" i="15"/>
  <c r="AJ272" i="15"/>
  <c r="L629" i="15"/>
  <c r="AH273" i="15"/>
  <c r="AI273" i="15"/>
  <c r="AG278" i="15"/>
  <c r="AC256" i="15"/>
  <c r="AD256" i="15"/>
  <c r="AE256" i="15" s="1"/>
  <c r="AH279" i="15"/>
  <c r="AI279" i="15"/>
  <c r="AG279" i="15"/>
  <c r="AG251" i="15"/>
  <c r="L568" i="15"/>
  <c r="AJ211" i="15"/>
  <c r="L569" i="15"/>
  <c r="AJ212" i="15"/>
  <c r="AL212" i="15" s="1"/>
  <c r="AM212" i="15" s="1"/>
  <c r="AL118" i="15"/>
  <c r="AM118" i="15"/>
  <c r="AF250" i="15"/>
  <c r="K607" i="15"/>
  <c r="L566" i="15"/>
  <c r="AJ209" i="15"/>
  <c r="AK209" i="15" s="1"/>
  <c r="AJ206" i="15"/>
  <c r="L563" i="15"/>
  <c r="AC213" i="15"/>
  <c r="AL160" i="15"/>
  <c r="AM160" i="15" s="1"/>
  <c r="AF284" i="15"/>
  <c r="K641" i="15"/>
  <c r="K659" i="15" s="1"/>
  <c r="K302" i="15" s="1"/>
  <c r="AF302" i="15" s="1"/>
  <c r="AH290" i="15"/>
  <c r="AI290" i="15" s="1"/>
  <c r="AL162" i="15"/>
  <c r="AM162" i="15"/>
  <c r="K645" i="15"/>
  <c r="AF288" i="15"/>
  <c r="AC288" i="15"/>
  <c r="AG291" i="15"/>
  <c r="AH291" i="15"/>
  <c r="AI291" i="15" s="1"/>
  <c r="AE287" i="15"/>
  <c r="AC287" i="15"/>
  <c r="L646" i="15"/>
  <c r="AJ289" i="15"/>
  <c r="AD284" i="15"/>
  <c r="AE284" i="15" s="1"/>
  <c r="AC284" i="15"/>
  <c r="AG282" i="15"/>
  <c r="AH282" i="15"/>
  <c r="AI282" i="15" s="1"/>
  <c r="AH286" i="15"/>
  <c r="AI286" i="15"/>
  <c r="L642" i="15"/>
  <c r="AJ285" i="15"/>
  <c r="AH289" i="15"/>
  <c r="AI289" i="15"/>
  <c r="AG289" i="15"/>
  <c r="AL157" i="15"/>
  <c r="AM157" i="15"/>
  <c r="AJ290" i="15"/>
  <c r="L647" i="15"/>
  <c r="AD283" i="15"/>
  <c r="AE283" i="15"/>
  <c r="AC283" i="15"/>
  <c r="AF287" i="15"/>
  <c r="AG287" i="15" s="1"/>
  <c r="K644" i="15"/>
  <c r="L639" i="15"/>
  <c r="AJ282" i="15"/>
  <c r="AJ286" i="15"/>
  <c r="AK286" i="15" s="1"/>
  <c r="L643" i="15"/>
  <c r="L648" i="15"/>
  <c r="AJ291" i="15"/>
  <c r="AH285" i="15"/>
  <c r="AI285" i="15"/>
  <c r="AG285" i="15"/>
  <c r="K640" i="15"/>
  <c r="AF283" i="15"/>
  <c r="AC238" i="15"/>
  <c r="AG237" i="15"/>
  <c r="K591" i="15"/>
  <c r="AF234" i="15"/>
  <c r="AG234" i="15" s="1"/>
  <c r="L579" i="15"/>
  <c r="AJ222" i="15"/>
  <c r="AK222" i="15" s="1"/>
  <c r="K596" i="15"/>
  <c r="AF239" i="15"/>
  <c r="K595" i="15"/>
  <c r="AF238" i="15"/>
  <c r="AG238" i="15" s="1"/>
  <c r="K592" i="15"/>
  <c r="AF235" i="15"/>
  <c r="AH222" i="15"/>
  <c r="AI222" i="15"/>
  <c r="AG222" i="15"/>
  <c r="K577" i="15"/>
  <c r="AF220" i="15"/>
  <c r="AH220" i="15" s="1"/>
  <c r="AI220" i="15" s="1"/>
  <c r="AK231" i="15"/>
  <c r="AL231" i="15"/>
  <c r="AM231" i="15" s="1"/>
  <c r="AH225" i="15"/>
  <c r="AI225" i="15"/>
  <c r="AJ229" i="15"/>
  <c r="L586" i="15"/>
  <c r="AF226" i="15"/>
  <c r="AG226" i="15" s="1"/>
  <c r="K583" i="15"/>
  <c r="AJ237" i="15"/>
  <c r="AK237" i="15" s="1"/>
  <c r="L594" i="15"/>
  <c r="AC234" i="15"/>
  <c r="AL100" i="15"/>
  <c r="AM100" i="15" s="1"/>
  <c r="AC239" i="15"/>
  <c r="AC220" i="15"/>
  <c r="AD220" i="15"/>
  <c r="AE220" i="15" s="1"/>
  <c r="L582" i="15"/>
  <c r="AJ225" i="15"/>
  <c r="AL104" i="15"/>
  <c r="AM104" i="15" s="1"/>
  <c r="AF230" i="15"/>
  <c r="K587" i="15"/>
  <c r="AC235" i="15"/>
  <c r="AD235" i="15"/>
  <c r="AE235" i="15"/>
  <c r="AL72" i="15"/>
  <c r="AM72" i="15"/>
  <c r="AJ195" i="15"/>
  <c r="L552" i="15"/>
  <c r="AH198" i="15"/>
  <c r="AI198" i="15" s="1"/>
  <c r="L551" i="15"/>
  <c r="AJ194" i="15"/>
  <c r="AK194" i="15" s="1"/>
  <c r="AH203" i="15"/>
  <c r="AI203" i="15" s="1"/>
  <c r="AG203" i="15"/>
  <c r="L559" i="15"/>
  <c r="AJ202" i="15"/>
  <c r="AK202" i="15" s="1"/>
  <c r="AG200" i="15"/>
  <c r="AH200" i="15"/>
  <c r="AI200" i="15"/>
  <c r="AG190" i="15"/>
  <c r="AH190" i="15"/>
  <c r="AI190" i="15" s="1"/>
  <c r="AG192" i="15"/>
  <c r="AH192" i="15"/>
  <c r="AI192" i="15" s="1"/>
  <c r="AJ191" i="15"/>
  <c r="AL191" i="15" s="1"/>
  <c r="AM191" i="15" s="1"/>
  <c r="L548" i="15"/>
  <c r="L545" i="15"/>
  <c r="AJ188" i="15"/>
  <c r="L554" i="15"/>
  <c r="AJ197" i="15"/>
  <c r="AL197" i="15" s="1"/>
  <c r="AM197" i="15" s="1"/>
  <c r="L544" i="15"/>
  <c r="AJ187" i="15"/>
  <c r="L557" i="15"/>
  <c r="AJ200" i="15"/>
  <c r="AH199" i="15"/>
  <c r="AI199" i="15" s="1"/>
  <c r="AG199" i="15"/>
  <c r="AJ196" i="15"/>
  <c r="L553" i="15"/>
  <c r="L550" i="15"/>
  <c r="AJ193" i="15"/>
  <c r="AG187" i="15"/>
  <c r="AG191" i="15"/>
  <c r="AH191" i="15"/>
  <c r="AI191" i="15"/>
  <c r="AG189" i="15"/>
  <c r="AH189" i="15"/>
  <c r="AI189" i="15"/>
  <c r="AG186" i="15"/>
  <c r="L560" i="15"/>
  <c r="AJ203" i="15"/>
  <c r="AK203" i="15" s="1"/>
  <c r="AG201" i="15"/>
  <c r="AG194" i="15"/>
  <c r="AH194" i="15"/>
  <c r="AI194" i="15"/>
  <c r="L556" i="15"/>
  <c r="AJ199" i="15"/>
  <c r="L543" i="15"/>
  <c r="AJ186" i="15"/>
  <c r="AG196" i="15"/>
  <c r="AH196" i="15"/>
  <c r="AI196" i="15" s="1"/>
  <c r="AI193" i="15"/>
  <c r="AG193" i="15"/>
  <c r="AJ192" i="15"/>
  <c r="L549" i="15"/>
  <c r="AH195" i="15"/>
  <c r="AI195" i="15"/>
  <c r="L558" i="15"/>
  <c r="AJ201" i="15"/>
  <c r="AL201" i="15" s="1"/>
  <c r="AM201" i="15" s="1"/>
  <c r="AJ198" i="15"/>
  <c r="AL198" i="15" s="1"/>
  <c r="AM198" i="15" s="1"/>
  <c r="L555" i="15"/>
  <c r="L547" i="15"/>
  <c r="AJ190" i="15"/>
  <c r="AJ189" i="15"/>
  <c r="AL189" i="15" s="1"/>
  <c r="AM189" i="15" s="1"/>
  <c r="L546" i="15"/>
  <c r="AH197" i="15"/>
  <c r="AI197" i="15"/>
  <c r="AG197" i="15"/>
  <c r="AJ224" i="15"/>
  <c r="AL224" i="15" s="1"/>
  <c r="AM224" i="15" s="1"/>
  <c r="L581" i="15"/>
  <c r="AG233" i="15"/>
  <c r="AJ221" i="15"/>
  <c r="L578" i="15"/>
  <c r="AJ232" i="15"/>
  <c r="L589" i="15"/>
  <c r="AJ236" i="15"/>
  <c r="L593" i="15"/>
  <c r="AG232" i="15"/>
  <c r="AJ228" i="15"/>
  <c r="L585" i="15"/>
  <c r="AH228" i="15"/>
  <c r="AI228" i="15"/>
  <c r="AG236" i="15"/>
  <c r="AG224" i="15"/>
  <c r="AH224" i="15"/>
  <c r="AI224" i="15" s="1"/>
  <c r="AJ233" i="15"/>
  <c r="AL233" i="15" s="1"/>
  <c r="AM233" i="15" s="1"/>
  <c r="L590" i="15"/>
  <c r="K627" i="15"/>
  <c r="AF270" i="15"/>
  <c r="AL144" i="15"/>
  <c r="AM144" i="15"/>
  <c r="AG269" i="15"/>
  <c r="L626" i="15"/>
  <c r="AJ269" i="15"/>
  <c r="AK269" i="15" s="1"/>
  <c r="AI142" i="15"/>
  <c r="AL142" i="15"/>
  <c r="AM142" i="15"/>
  <c r="AD268" i="15"/>
  <c r="AE268" i="15" s="1"/>
  <c r="K625" i="15"/>
  <c r="AF268" i="15"/>
  <c r="AG268" i="15" s="1"/>
  <c r="AJ267" i="15"/>
  <c r="AK267" i="15" s="1"/>
  <c r="L624" i="15"/>
  <c r="AF266" i="15"/>
  <c r="K623" i="15"/>
  <c r="AL140" i="15"/>
  <c r="AM140" i="15" s="1"/>
  <c r="AD266" i="15"/>
  <c r="AE266" i="15"/>
  <c r="Z265" i="15"/>
  <c r="AA265" i="15"/>
  <c r="AH139" i="15"/>
  <c r="AI139" i="15" s="1"/>
  <c r="J622" i="15"/>
  <c r="AB265" i="15"/>
  <c r="AC265" i="15" s="1"/>
  <c r="AF264" i="15"/>
  <c r="K621" i="15"/>
  <c r="AD264" i="15"/>
  <c r="AE264" i="15"/>
  <c r="AC264" i="15"/>
  <c r="AJ263" i="15"/>
  <c r="L620" i="15"/>
  <c r="AL138" i="15"/>
  <c r="AM138" i="15"/>
  <c r="AK129" i="15"/>
  <c r="AK156" i="15"/>
  <c r="AL156" i="15"/>
  <c r="AM156" i="15" s="1"/>
  <c r="AK164" i="15"/>
  <c r="AL105" i="15"/>
  <c r="AM105" i="15" s="1"/>
  <c r="AJ253" i="15"/>
  <c r="AK253" i="15" s="1"/>
  <c r="L610" i="15"/>
  <c r="AG242" i="15"/>
  <c r="AH242" i="15"/>
  <c r="AI242" i="15" s="1"/>
  <c r="AL248" i="15"/>
  <c r="AM248" i="15"/>
  <c r="AK248" i="15"/>
  <c r="AJ242" i="15"/>
  <c r="L599" i="15"/>
  <c r="AG253" i="15"/>
  <c r="AH253" i="15"/>
  <c r="AI253" i="15" s="1"/>
  <c r="AJ259" i="15"/>
  <c r="L616" i="15"/>
  <c r="AL209" i="15"/>
  <c r="AM209" i="15" s="1"/>
  <c r="AL271" i="15"/>
  <c r="AM271" i="15"/>
  <c r="AK271" i="15"/>
  <c r="AK299" i="15"/>
  <c r="AJ247" i="15"/>
  <c r="AL247" i="15" s="1"/>
  <c r="AM247" i="15" s="1"/>
  <c r="L604" i="15"/>
  <c r="AK279" i="15"/>
  <c r="AL279" i="15"/>
  <c r="AM279" i="15" s="1"/>
  <c r="AJ204" i="15"/>
  <c r="AL204" i="15" s="1"/>
  <c r="AM204" i="15" s="1"/>
  <c r="L561" i="15"/>
  <c r="AL208" i="15"/>
  <c r="AM208" i="15" s="1"/>
  <c r="AK208" i="15"/>
  <c r="AK298" i="15"/>
  <c r="AL298" i="15"/>
  <c r="AM298" i="15" s="1"/>
  <c r="AL252" i="15"/>
  <c r="AM252" i="15"/>
  <c r="AG256" i="15"/>
  <c r="AL273" i="15"/>
  <c r="AM273" i="15" s="1"/>
  <c r="AK273" i="15"/>
  <c r="AL300" i="15"/>
  <c r="AM300" i="15"/>
  <c r="AK300" i="15"/>
  <c r="AK292" i="15"/>
  <c r="AL292" i="15"/>
  <c r="AM292" i="15"/>
  <c r="AG250" i="15"/>
  <c r="AH250" i="15"/>
  <c r="AI250" i="15"/>
  <c r="AK212" i="15"/>
  <c r="AK294" i="15"/>
  <c r="AL294" i="15"/>
  <c r="AM294" i="15" s="1"/>
  <c r="AL274" i="15"/>
  <c r="AM274" i="15" s="1"/>
  <c r="AL276" i="15"/>
  <c r="AM276" i="15"/>
  <c r="AK276" i="15"/>
  <c r="AJ256" i="15"/>
  <c r="L613" i="15"/>
  <c r="AJ250" i="15"/>
  <c r="L607" i="15"/>
  <c r="AK272" i="15"/>
  <c r="AL272" i="15"/>
  <c r="AM272" i="15"/>
  <c r="AL293" i="15"/>
  <c r="AM293" i="15"/>
  <c r="AK293" i="15"/>
  <c r="AK280" i="15"/>
  <c r="AK251" i="15"/>
  <c r="AL251" i="15"/>
  <c r="AM251" i="15" s="1"/>
  <c r="AK277" i="15"/>
  <c r="AL277" i="15"/>
  <c r="AM277" i="15" s="1"/>
  <c r="AH247" i="15"/>
  <c r="AI247" i="15" s="1"/>
  <c r="L570" i="15"/>
  <c r="AJ213" i="15"/>
  <c r="AK243" i="15"/>
  <c r="AL243" i="15"/>
  <c r="AM243" i="15" s="1"/>
  <c r="AL275" i="15"/>
  <c r="AM275" i="15"/>
  <c r="AL297" i="15"/>
  <c r="AM297" i="15"/>
  <c r="AK297" i="15"/>
  <c r="AL296" i="15"/>
  <c r="AM296" i="15" s="1"/>
  <c r="L640" i="15"/>
  <c r="AJ283" i="15"/>
  <c r="AL283" i="15" s="1"/>
  <c r="AH287" i="15"/>
  <c r="AI287" i="15"/>
  <c r="AL290" i="15"/>
  <c r="AM290" i="15" s="1"/>
  <c r="AK290" i="15"/>
  <c r="AJ288" i="15"/>
  <c r="AL288" i="15" s="1"/>
  <c r="AM288" i="15" s="1"/>
  <c r="L645" i="15"/>
  <c r="L644" i="15"/>
  <c r="AJ287" i="15"/>
  <c r="AK289" i="15"/>
  <c r="AL289" i="15"/>
  <c r="AM289" i="15" s="1"/>
  <c r="L641" i="15"/>
  <c r="AJ284" i="15"/>
  <c r="AL284" i="15" s="1"/>
  <c r="AM284" i="15" s="1"/>
  <c r="AH283" i="15"/>
  <c r="AI283" i="15" s="1"/>
  <c r="AG283" i="15"/>
  <c r="AL286" i="15"/>
  <c r="AM286" i="15" s="1"/>
  <c r="AK285" i="15"/>
  <c r="AL285" i="15"/>
  <c r="AM285" i="15"/>
  <c r="AL291" i="15"/>
  <c r="AM291" i="15" s="1"/>
  <c r="AK291" i="15"/>
  <c r="AK282" i="15"/>
  <c r="AL282" i="15"/>
  <c r="AM282" i="15" s="1"/>
  <c r="AH284" i="15"/>
  <c r="AI284" i="15"/>
  <c r="AG284" i="15"/>
  <c r="AJ230" i="15"/>
  <c r="L587" i="15"/>
  <c r="AL237" i="15"/>
  <c r="AM237" i="15"/>
  <c r="AG239" i="15"/>
  <c r="AH239" i="15"/>
  <c r="AI239" i="15"/>
  <c r="AG220" i="15"/>
  <c r="AJ238" i="15"/>
  <c r="AK238" i="15" s="1"/>
  <c r="L595" i="15"/>
  <c r="AJ234" i="15"/>
  <c r="L591" i="15"/>
  <c r="AH226" i="15"/>
  <c r="AI226" i="15" s="1"/>
  <c r="AJ235" i="15"/>
  <c r="AL235" i="15" s="1"/>
  <c r="AM235" i="15" s="1"/>
  <c r="L592" i="15"/>
  <c r="AJ239" i="15"/>
  <c r="L596" i="15"/>
  <c r="AG230" i="15"/>
  <c r="AH230" i="15"/>
  <c r="AI230" i="15"/>
  <c r="AJ226" i="15"/>
  <c r="L583" i="15"/>
  <c r="AK229" i="15"/>
  <c r="AL229" i="15"/>
  <c r="AM229" i="15" s="1"/>
  <c r="AJ220" i="15"/>
  <c r="L577" i="15"/>
  <c r="AG235" i="15"/>
  <c r="AH235" i="15"/>
  <c r="AI235" i="15" s="1"/>
  <c r="AH234" i="15"/>
  <c r="AI234" i="15"/>
  <c r="AL203" i="15"/>
  <c r="AM203" i="15" s="1"/>
  <c r="AK200" i="15"/>
  <c r="AL200" i="15"/>
  <c r="AM200" i="15" s="1"/>
  <c r="AL190" i="15"/>
  <c r="AM190" i="15"/>
  <c r="AK190" i="15"/>
  <c r="AK197" i="15"/>
  <c r="AK189" i="15"/>
  <c r="AK198" i="15"/>
  <c r="AK192" i="15"/>
  <c r="AL192" i="15"/>
  <c r="AM192" i="15"/>
  <c r="AK191" i="15"/>
  <c r="AK201" i="15"/>
  <c r="AL186" i="15"/>
  <c r="AM186" i="15" s="1"/>
  <c r="AK186" i="15"/>
  <c r="AK193" i="15"/>
  <c r="AL193" i="15"/>
  <c r="AM193" i="15" s="1"/>
  <c r="AK187" i="15"/>
  <c r="AL187" i="15"/>
  <c r="AM187" i="15"/>
  <c r="AK188" i="15"/>
  <c r="AL188" i="15"/>
  <c r="AM188" i="15"/>
  <c r="AL202" i="15"/>
  <c r="AM202" i="15" s="1"/>
  <c r="AL194" i="15"/>
  <c r="AM194" i="15"/>
  <c r="AL195" i="15"/>
  <c r="AM195" i="15"/>
  <c r="AK195" i="15"/>
  <c r="AK232" i="15"/>
  <c r="AL232" i="15"/>
  <c r="AM232" i="15"/>
  <c r="AK233" i="15"/>
  <c r="AK228" i="15"/>
  <c r="AL228" i="15"/>
  <c r="AM228" i="15"/>
  <c r="AK236" i="15"/>
  <c r="AL236" i="15"/>
  <c r="AM236" i="15"/>
  <c r="AK224" i="15"/>
  <c r="L627" i="15"/>
  <c r="AJ270" i="15"/>
  <c r="AL270" i="15" s="1"/>
  <c r="AM270" i="15" s="1"/>
  <c r="AH270" i="15"/>
  <c r="AI270" i="15"/>
  <c r="AG270" i="15"/>
  <c r="L625" i="15"/>
  <c r="AJ268" i="15"/>
  <c r="AK268" i="15" s="1"/>
  <c r="AL267" i="15"/>
  <c r="AM267" i="15" s="1"/>
  <c r="AG266" i="15"/>
  <c r="AH266" i="15"/>
  <c r="AI266" i="15" s="1"/>
  <c r="AJ266" i="15"/>
  <c r="L623" i="15"/>
  <c r="AL139" i="15"/>
  <c r="AM139" i="15" s="1"/>
  <c r="K622" i="15"/>
  <c r="AF265" i="15"/>
  <c r="AD265" i="15"/>
  <c r="AE265" i="15" s="1"/>
  <c r="L621" i="15"/>
  <c r="AJ264" i="15"/>
  <c r="AK264" i="15" s="1"/>
  <c r="AL263" i="15"/>
  <c r="AM263" i="15" s="1"/>
  <c r="AK263" i="15"/>
  <c r="AK259" i="15"/>
  <c r="AL259" i="15"/>
  <c r="AM259" i="15"/>
  <c r="AK242" i="15"/>
  <c r="AL242" i="15"/>
  <c r="AM242" i="15"/>
  <c r="AL253" i="15"/>
  <c r="AM253" i="15" s="1"/>
  <c r="AK256" i="15"/>
  <c r="AL256" i="15"/>
  <c r="AM256" i="15" s="1"/>
  <c r="AK204" i="15"/>
  <c r="AL213" i="15"/>
  <c r="AM213" i="15" s="1"/>
  <c r="AK213" i="15"/>
  <c r="AK247" i="15"/>
  <c r="AK288" i="15"/>
  <c r="AM283" i="15"/>
  <c r="AK283" i="15"/>
  <c r="AK284" i="15"/>
  <c r="AL287" i="15"/>
  <c r="AM287" i="15" s="1"/>
  <c r="AK287" i="15"/>
  <c r="AK239" i="15"/>
  <c r="AL239" i="15"/>
  <c r="AM239" i="15" s="1"/>
  <c r="AL220" i="15"/>
  <c r="AM220" i="15"/>
  <c r="AK220" i="15"/>
  <c r="AK235" i="15"/>
  <c r="AK234" i="15"/>
  <c r="AL234" i="15"/>
  <c r="AM234" i="15" s="1"/>
  <c r="AL238" i="15"/>
  <c r="AM238" i="15" s="1"/>
  <c r="AL230" i="15"/>
  <c r="AM230" i="15"/>
  <c r="AK230" i="15"/>
  <c r="AK270" i="15"/>
  <c r="AL268" i="15"/>
  <c r="AM268" i="15"/>
  <c r="AK266" i="15"/>
  <c r="AL266" i="15"/>
  <c r="AM266" i="15"/>
  <c r="L622" i="15"/>
  <c r="AJ265" i="15"/>
  <c r="AG265" i="15"/>
  <c r="AH265" i="15"/>
  <c r="AI265" i="15" s="1"/>
  <c r="N84" i="18"/>
  <c r="AK265" i="15"/>
  <c r="AL265" i="15"/>
  <c r="AM265" i="15" s="1"/>
  <c r="J99" i="20"/>
  <c r="K99" i="20"/>
  <c r="L99" i="20"/>
  <c r="M99" i="20"/>
  <c r="N99" i="20"/>
  <c r="P99" i="20"/>
  <c r="Q99" i="20"/>
  <c r="R99" i="20"/>
  <c r="Q164" i="15"/>
  <c r="D268" i="15"/>
  <c r="D625" i="15"/>
  <c r="R99" i="15"/>
  <c r="S99" i="15" s="1"/>
  <c r="D261" i="15"/>
  <c r="D618" i="15" s="1"/>
  <c r="R75" i="15"/>
  <c r="S75" i="15" s="1"/>
  <c r="L108" i="19"/>
  <c r="L128" i="19"/>
  <c r="R96" i="15"/>
  <c r="S96" i="15" s="1"/>
  <c r="R111" i="15"/>
  <c r="S111" i="15"/>
  <c r="R121" i="15"/>
  <c r="S121" i="15" s="1"/>
  <c r="R149" i="15"/>
  <c r="S149" i="15"/>
  <c r="R175" i="15"/>
  <c r="S175" i="15"/>
  <c r="R62" i="15"/>
  <c r="S62" i="15" s="1"/>
  <c r="R174" i="15"/>
  <c r="S174" i="15" s="1"/>
  <c r="R154" i="15"/>
  <c r="S154" i="15"/>
  <c r="R67" i="15"/>
  <c r="S67" i="15" s="1"/>
  <c r="R170" i="15"/>
  <c r="S170" i="15" s="1"/>
  <c r="R171" i="15"/>
  <c r="S171" i="15"/>
  <c r="R145" i="15"/>
  <c r="S145" i="15"/>
  <c r="D202" i="15"/>
  <c r="D559" i="15" s="1"/>
  <c r="R109" i="15"/>
  <c r="S109" i="15"/>
  <c r="R118" i="15"/>
  <c r="S118" i="15" s="1"/>
  <c r="R150" i="15"/>
  <c r="S150" i="15"/>
  <c r="R123" i="15"/>
  <c r="S123" i="15" s="1"/>
  <c r="R97" i="15"/>
  <c r="S97" i="15"/>
  <c r="R159" i="15"/>
  <c r="S159" i="15" s="1"/>
  <c r="D270" i="15"/>
  <c r="D627" i="15"/>
  <c r="R147" i="15"/>
  <c r="S147" i="15" s="1"/>
  <c r="D246" i="15"/>
  <c r="D603" i="15"/>
  <c r="D230" i="15"/>
  <c r="D587" i="15" s="1"/>
  <c r="R105" i="15"/>
  <c r="S105" i="15"/>
  <c r="R173" i="15"/>
  <c r="S173" i="15" s="1"/>
  <c r="D234" i="15"/>
  <c r="D591" i="15" s="1"/>
  <c r="D207" i="15"/>
  <c r="D564" i="15" s="1"/>
  <c r="D250" i="15"/>
  <c r="D607" i="15"/>
  <c r="D222" i="15"/>
  <c r="D579" i="15"/>
  <c r="D525" i="15"/>
  <c r="L183" i="15"/>
  <c r="L311" i="15" s="1"/>
  <c r="L344" i="15" s="1"/>
  <c r="L371" i="15"/>
  <c r="L398" i="15"/>
  <c r="L416" i="15" s="1"/>
  <c r="L538" i="15" s="1"/>
  <c r="R157" i="15"/>
  <c r="S157" i="15"/>
  <c r="Q125" i="15"/>
  <c r="D209" i="15"/>
  <c r="D566" i="15"/>
  <c r="M26" i="19"/>
  <c r="M46" i="19" s="1"/>
  <c r="R61" i="15"/>
  <c r="S61" i="15"/>
  <c r="D192" i="15"/>
  <c r="D549" i="15"/>
  <c r="D282" i="15"/>
  <c r="D639" i="15"/>
  <c r="D252" i="15"/>
  <c r="D609" i="15"/>
  <c r="R73" i="15"/>
  <c r="S73" i="15"/>
  <c r="R65" i="15"/>
  <c r="S65" i="15"/>
  <c r="R167" i="15"/>
  <c r="S167" i="15" s="1"/>
  <c r="D244" i="15"/>
  <c r="D601" i="15"/>
  <c r="D188" i="15"/>
  <c r="D545" i="15" s="1"/>
  <c r="D213" i="15"/>
  <c r="D570" i="15" s="1"/>
  <c r="R70" i="15"/>
  <c r="S70" i="15" s="1"/>
  <c r="R169" i="15"/>
  <c r="S169" i="15"/>
  <c r="E183" i="15"/>
  <c r="E311" i="15" s="1"/>
  <c r="E344" i="15" s="1"/>
  <c r="E371" i="15" s="1"/>
  <c r="E398" i="15" s="1"/>
  <c r="E416" i="15" s="1"/>
  <c r="E538" i="15" s="1"/>
  <c r="R124" i="15"/>
  <c r="S124" i="15"/>
  <c r="Q133" i="15"/>
  <c r="D208" i="15"/>
  <c r="D565" i="15"/>
  <c r="D247" i="15"/>
  <c r="D604" i="15"/>
  <c r="D212" i="15"/>
  <c r="D569" i="15" s="1"/>
  <c r="D291" i="15"/>
  <c r="D648" i="15"/>
  <c r="R98" i="15"/>
  <c r="S98" i="15" s="1"/>
  <c r="R162" i="15"/>
  <c r="S162" i="15" s="1"/>
  <c r="F26" i="19"/>
  <c r="F46" i="19" s="1"/>
  <c r="D255" i="15"/>
  <c r="D612" i="15" s="1"/>
  <c r="D203" i="15"/>
  <c r="D560" i="15"/>
  <c r="D417" i="15"/>
  <c r="D243" i="15"/>
  <c r="D600" i="15" s="1"/>
  <c r="D191" i="15"/>
  <c r="D548" i="15" s="1"/>
  <c r="D259" i="15"/>
  <c r="D616" i="15"/>
  <c r="D187" i="15"/>
  <c r="D544" i="15" s="1"/>
  <c r="R76" i="15"/>
  <c r="S76" i="15" s="1"/>
  <c r="D279" i="15"/>
  <c r="D636" i="15" s="1"/>
  <c r="D275" i="15"/>
  <c r="D632" i="15"/>
  <c r="D527" i="15"/>
  <c r="D283" i="15"/>
  <c r="D640" i="15"/>
  <c r="R71" i="15"/>
  <c r="S71" i="15" s="1"/>
  <c r="Q71" i="15"/>
  <c r="R107" i="15"/>
  <c r="S107" i="15"/>
  <c r="Q107" i="15"/>
  <c r="Q139" i="15"/>
  <c r="R139" i="15"/>
  <c r="S139" i="15"/>
  <c r="Q163" i="15"/>
  <c r="R163" i="15"/>
  <c r="S163" i="15"/>
  <c r="Q161" i="15"/>
  <c r="R161" i="15"/>
  <c r="S161" i="15" s="1"/>
  <c r="Q120" i="15"/>
  <c r="R120" i="15"/>
  <c r="S120" i="15" s="1"/>
  <c r="Q130" i="15"/>
  <c r="R130" i="15"/>
  <c r="S130" i="15"/>
  <c r="D453" i="15"/>
  <c r="D220" i="15"/>
  <c r="D577" i="15" s="1"/>
  <c r="D497" i="15"/>
  <c r="D264" i="15"/>
  <c r="D621" i="15" s="1"/>
  <c r="Q101" i="15"/>
  <c r="R101" i="15"/>
  <c r="S101" i="15" s="1"/>
  <c r="R106" i="15"/>
  <c r="S106" i="15"/>
  <c r="Q106" i="15"/>
  <c r="Q102" i="15"/>
  <c r="Q143" i="15"/>
  <c r="D468" i="15"/>
  <c r="D235" i="15"/>
  <c r="D592" i="15"/>
  <c r="Q156" i="15"/>
  <c r="R156" i="15"/>
  <c r="S156" i="15" s="1"/>
  <c r="Q122" i="15"/>
  <c r="R122" i="15"/>
  <c r="S122" i="15" s="1"/>
  <c r="R103" i="15"/>
  <c r="S103" i="15" s="1"/>
  <c r="R69" i="15"/>
  <c r="S69" i="15"/>
  <c r="D431" i="15"/>
  <c r="D198" i="15"/>
  <c r="D555" i="15"/>
  <c r="D427" i="15"/>
  <c r="D194" i="15"/>
  <c r="D551" i="15" s="1"/>
  <c r="D423" i="15"/>
  <c r="D190" i="15"/>
  <c r="D547" i="15"/>
  <c r="D444" i="15"/>
  <c r="D211" i="15"/>
  <c r="D568" i="15" s="1"/>
  <c r="D491" i="15"/>
  <c r="D258" i="15"/>
  <c r="D615" i="15" s="1"/>
  <c r="D475" i="15"/>
  <c r="D242" i="15"/>
  <c r="D599" i="15"/>
  <c r="Q119" i="15"/>
  <c r="R66" i="15"/>
  <c r="S66" i="15"/>
  <c r="D434" i="15"/>
  <c r="D201" i="15"/>
  <c r="D558" i="15"/>
  <c r="D217" i="15"/>
  <c r="D574" i="15" s="1"/>
  <c r="D520" i="15"/>
  <c r="D287" i="15"/>
  <c r="D644" i="15" s="1"/>
  <c r="D461" i="15"/>
  <c r="D228" i="15"/>
  <c r="D585" i="15"/>
  <c r="Q160" i="15"/>
  <c r="R160" i="15"/>
  <c r="S160" i="15" s="1"/>
  <c r="Q165" i="15"/>
  <c r="Q153" i="15"/>
  <c r="R153" i="15"/>
  <c r="S153" i="15" s="1"/>
  <c r="E188" i="15"/>
  <c r="D510" i="15"/>
  <c r="D277" i="15"/>
  <c r="D634" i="15" s="1"/>
  <c r="D300" i="15"/>
  <c r="D657" i="15"/>
  <c r="R138" i="15"/>
  <c r="S138" i="15"/>
  <c r="Q138" i="15"/>
  <c r="Q77" i="15"/>
  <c r="R77" i="15"/>
  <c r="S77" i="15" s="1"/>
  <c r="D464" i="15"/>
  <c r="D231" i="15"/>
  <c r="D588" i="15"/>
  <c r="E274" i="15"/>
  <c r="Q72" i="15"/>
  <c r="R72" i="15"/>
  <c r="S72" i="15" s="1"/>
  <c r="Q104" i="15"/>
  <c r="R104" i="15"/>
  <c r="S104" i="15"/>
  <c r="Q116" i="15"/>
  <c r="R116" i="15"/>
  <c r="S116" i="15" s="1"/>
  <c r="D426" i="15"/>
  <c r="D193" i="15"/>
  <c r="D550" i="15" s="1"/>
  <c r="D418" i="15"/>
  <c r="D185" i="15"/>
  <c r="D542" i="15"/>
  <c r="D439" i="15"/>
  <c r="D474" i="15"/>
  <c r="D241" i="15"/>
  <c r="D598" i="15"/>
  <c r="Q132" i="15"/>
  <c r="R132" i="15"/>
  <c r="S132" i="15"/>
  <c r="D499" i="15"/>
  <c r="D266" i="15"/>
  <c r="D623" i="15" s="1"/>
  <c r="D522" i="15"/>
  <c r="D289" i="15"/>
  <c r="D646" i="15"/>
  <c r="Q151" i="15"/>
  <c r="R151" i="15"/>
  <c r="S151" i="15" s="1"/>
  <c r="Q127" i="15"/>
  <c r="R127" i="15"/>
  <c r="S127" i="15"/>
  <c r="Q126" i="15"/>
  <c r="R126" i="15"/>
  <c r="S126" i="15"/>
  <c r="D271" i="15"/>
  <c r="D628" i="15" s="1"/>
  <c r="D504" i="15"/>
  <c r="D473" i="15"/>
  <c r="D240" i="15"/>
  <c r="D597" i="15" s="1"/>
  <c r="D489" i="15"/>
  <c r="D256" i="15"/>
  <c r="D613" i="15"/>
  <c r="D481" i="15"/>
  <c r="D248" i="15"/>
  <c r="D605" i="15"/>
  <c r="Q172" i="15"/>
  <c r="D262" i="15"/>
  <c r="D619" i="15" s="1"/>
  <c r="D285" i="15"/>
  <c r="D642" i="15"/>
  <c r="D296" i="15"/>
  <c r="D653" i="15"/>
  <c r="L659" i="15"/>
  <c r="L302" i="15" s="1"/>
  <c r="AJ302" i="15" s="1"/>
  <c r="K108" i="19"/>
  <c r="K128" i="19" s="1"/>
  <c r="H67" i="19"/>
  <c r="H87" i="19" s="1"/>
  <c r="H26" i="19"/>
  <c r="H46" i="19" s="1"/>
  <c r="G183" i="15"/>
  <c r="G311" i="15"/>
  <c r="G344" i="15" s="1"/>
  <c r="G371" i="15" s="1"/>
  <c r="G398" i="15"/>
  <c r="G416" i="15" s="1"/>
  <c r="G538" i="15" s="1"/>
  <c r="K67" i="19"/>
  <c r="K87" i="19" s="1"/>
  <c r="Q94" i="15"/>
  <c r="R94" i="15"/>
  <c r="S94" i="15"/>
  <c r="Q158" i="15"/>
  <c r="R158" i="15"/>
  <c r="S158" i="15"/>
  <c r="D227" i="15"/>
  <c r="D584" i="15" s="1"/>
  <c r="D224" i="15"/>
  <c r="D581" i="15"/>
  <c r="D221" i="15"/>
  <c r="D578" i="15" s="1"/>
  <c r="D257" i="15"/>
  <c r="D614" i="15"/>
  <c r="D267" i="15"/>
  <c r="D624" i="15" s="1"/>
  <c r="D265" i="15"/>
  <c r="D622" i="15"/>
  <c r="D263" i="15"/>
  <c r="D620" i="15" s="1"/>
  <c r="D280" i="15"/>
  <c r="D637" i="15"/>
  <c r="D278" i="15"/>
  <c r="D635" i="15" s="1"/>
  <c r="D276" i="15"/>
  <c r="D633" i="15"/>
  <c r="D274" i="15"/>
  <c r="D631" i="15" s="1"/>
  <c r="D272" i="15"/>
  <c r="D629" i="15"/>
  <c r="D290" i="15"/>
  <c r="D647" i="15" s="1"/>
  <c r="D288" i="15"/>
  <c r="D645" i="15"/>
  <c r="D286" i="15"/>
  <c r="D643" i="15" s="1"/>
  <c r="D301" i="15"/>
  <c r="D658" i="15"/>
  <c r="D299" i="15"/>
  <c r="D656" i="15"/>
  <c r="D297" i="15"/>
  <c r="D654" i="15"/>
  <c r="D295" i="15"/>
  <c r="D652" i="15"/>
  <c r="D293" i="15"/>
  <c r="D650" i="15"/>
  <c r="D428" i="15"/>
  <c r="F302" i="15"/>
  <c r="N302" i="15"/>
  <c r="O302" i="15" s="1"/>
  <c r="R63" i="15"/>
  <c r="S63" i="15"/>
  <c r="J67" i="19"/>
  <c r="J87" i="19" s="1"/>
  <c r="R152" i="15"/>
  <c r="S152" i="15"/>
  <c r="D419" i="15"/>
  <c r="D186" i="15"/>
  <c r="D543" i="15"/>
  <c r="D238" i="15"/>
  <c r="D595" i="15" s="1"/>
  <c r="D471" i="15"/>
  <c r="D482" i="15"/>
  <c r="D249" i="15"/>
  <c r="D606" i="15" s="1"/>
  <c r="D245" i="15"/>
  <c r="D602" i="15"/>
  <c r="D478" i="15"/>
  <c r="D433" i="15"/>
  <c r="D200" i="15"/>
  <c r="D557" i="15"/>
  <c r="D430" i="15"/>
  <c r="D197" i="15"/>
  <c r="D554" i="15"/>
  <c r="D189" i="15"/>
  <c r="D546" i="15"/>
  <c r="D422" i="15"/>
  <c r="D470" i="15"/>
  <c r="D237" i="15"/>
  <c r="D594" i="15"/>
  <c r="D502" i="15"/>
  <c r="D215" i="15"/>
  <c r="D572" i="15"/>
  <c r="D448" i="15"/>
  <c r="D429" i="15"/>
  <c r="D196" i="15"/>
  <c r="D553" i="15"/>
  <c r="D438" i="15"/>
  <c r="D205" i="15"/>
  <c r="D562" i="15"/>
  <c r="D233" i="15"/>
  <c r="D590" i="15"/>
  <c r="D466" i="15"/>
  <c r="D472" i="15"/>
  <c r="D484" i="15"/>
  <c r="R131" i="15"/>
  <c r="S131" i="15" s="1"/>
  <c r="Q60" i="15"/>
  <c r="D487" i="15"/>
  <c r="D254" i="15"/>
  <c r="D611" i="15" s="1"/>
  <c r="E282" i="15"/>
  <c r="D85" i="3"/>
  <c r="E109" i="15"/>
  <c r="E235" i="15"/>
  <c r="N61" i="15"/>
  <c r="O61" i="15" s="1"/>
  <c r="X176" i="15"/>
  <c r="L142" i="20"/>
  <c r="N142" i="20"/>
  <c r="N159" i="15"/>
  <c r="O159" i="15"/>
  <c r="F176" i="15"/>
  <c r="N176" i="15" s="1"/>
  <c r="I143" i="20" s="1"/>
  <c r="E236" i="15"/>
  <c r="Y176" i="15"/>
  <c r="L144" i="20" s="1"/>
  <c r="L160" i="20" s="1"/>
  <c r="Q302" i="15" l="1"/>
  <c r="R302" i="15"/>
  <c r="S302" i="15" s="1"/>
  <c r="Y302" i="15"/>
  <c r="Z302" i="15"/>
  <c r="AA302" i="15" s="1"/>
  <c r="AD302" i="15"/>
  <c r="AE302" i="15" s="1"/>
  <c r="AC302" i="15"/>
  <c r="AG176" i="15"/>
  <c r="N144" i="20" s="1"/>
  <c r="N160" i="20" s="1"/>
  <c r="N143" i="20"/>
  <c r="N159" i="20" s="1"/>
  <c r="AH176" i="15"/>
  <c r="N145" i="20" s="1"/>
  <c r="N228" i="20" s="1"/>
  <c r="U302" i="15"/>
  <c r="V302" i="15"/>
  <c r="W302" i="15" s="1"/>
  <c r="K142" i="20"/>
  <c r="T176" i="15"/>
  <c r="AG302" i="15"/>
  <c r="AH302" i="15"/>
  <c r="AI302" i="15" s="1"/>
  <c r="AJ176" i="15"/>
  <c r="O142" i="20"/>
  <c r="AG288" i="15"/>
  <c r="AH288" i="15"/>
  <c r="AI288" i="15" s="1"/>
  <c r="AG259" i="15"/>
  <c r="AH259" i="15"/>
  <c r="AI259" i="15" s="1"/>
  <c r="AH122" i="15"/>
  <c r="AI122" i="15" s="1"/>
  <c r="AG122" i="15"/>
  <c r="AK116" i="15"/>
  <c r="AL116" i="15"/>
  <c r="AM116" i="15" s="1"/>
  <c r="I67" i="19"/>
  <c r="I87" i="19" s="1"/>
  <c r="I108" i="19"/>
  <c r="I128" i="19" s="1"/>
  <c r="I26" i="19"/>
  <c r="I46" i="19" s="1"/>
  <c r="R144" i="15"/>
  <c r="S144" i="15" s="1"/>
  <c r="Q144" i="15"/>
  <c r="U151" i="15"/>
  <c r="V151" i="15"/>
  <c r="W151" i="15" s="1"/>
  <c r="AL264" i="15"/>
  <c r="AM264" i="15" s="1"/>
  <c r="AL222" i="15"/>
  <c r="AM222" i="15" s="1"/>
  <c r="AL301" i="15"/>
  <c r="AM301" i="15" s="1"/>
  <c r="AL94" i="15"/>
  <c r="AM94" i="15" s="1"/>
  <c r="AH252" i="15"/>
  <c r="AI252" i="15" s="1"/>
  <c r="AL211" i="15"/>
  <c r="AM211" i="15" s="1"/>
  <c r="AK211" i="15"/>
  <c r="AD189" i="15"/>
  <c r="AE189" i="15" s="1"/>
  <c r="AD278" i="15"/>
  <c r="AE278" i="15" s="1"/>
  <c r="AH296" i="15"/>
  <c r="AI296" i="15" s="1"/>
  <c r="AG296" i="15"/>
  <c r="AL102" i="15"/>
  <c r="AM102" i="15" s="1"/>
  <c r="AK102" i="15"/>
  <c r="AK165" i="15"/>
  <c r="AL165" i="15"/>
  <c r="AM165" i="15" s="1"/>
  <c r="Z238" i="15"/>
  <c r="AA238" i="15" s="1"/>
  <c r="Y238" i="15"/>
  <c r="AH71" i="15"/>
  <c r="AI71" i="15" s="1"/>
  <c r="AG71" i="15"/>
  <c r="Y193" i="15"/>
  <c r="Z193" i="15"/>
  <c r="AA193" i="15" s="1"/>
  <c r="AC61" i="15"/>
  <c r="AD61" i="15"/>
  <c r="AE61" i="15" s="1"/>
  <c r="AD174" i="15"/>
  <c r="AE174" i="15" s="1"/>
  <c r="AC174" i="15"/>
  <c r="Z153" i="15"/>
  <c r="AA153" i="15" s="1"/>
  <c r="Y153" i="15"/>
  <c r="Q110" i="15"/>
  <c r="R110" i="15"/>
  <c r="S110" i="15" s="1"/>
  <c r="AH401" i="15"/>
  <c r="AI401" i="15" s="1"/>
  <c r="AG401" i="15"/>
  <c r="R401" i="15"/>
  <c r="S401" i="15" s="1"/>
  <c r="Q401" i="15"/>
  <c r="I142" i="20"/>
  <c r="L143" i="20"/>
  <c r="L159" i="20" s="1"/>
  <c r="Z176" i="15"/>
  <c r="AA176" i="15" s="1"/>
  <c r="L146" i="20" s="1"/>
  <c r="F183" i="15"/>
  <c r="F311" i="15" s="1"/>
  <c r="F344" i="15" s="1"/>
  <c r="F371" i="15" s="1"/>
  <c r="F398" i="15" s="1"/>
  <c r="F416" i="15" s="1"/>
  <c r="F538" i="15" s="1"/>
  <c r="H183" i="15"/>
  <c r="H311" i="15" s="1"/>
  <c r="H344" i="15" s="1"/>
  <c r="H371" i="15" s="1"/>
  <c r="H398" i="15" s="1"/>
  <c r="H416" i="15" s="1"/>
  <c r="H538" i="15" s="1"/>
  <c r="AL269" i="15"/>
  <c r="AM269" i="15" s="1"/>
  <c r="AK226" i="15"/>
  <c r="AL226" i="15"/>
  <c r="AM226" i="15" s="1"/>
  <c r="AL278" i="15"/>
  <c r="AM278" i="15" s="1"/>
  <c r="AG263" i="15"/>
  <c r="AG267" i="15"/>
  <c r="AH202" i="15"/>
  <c r="AI202" i="15" s="1"/>
  <c r="AC230" i="15"/>
  <c r="AL110" i="15"/>
  <c r="AM110" i="15" s="1"/>
  <c r="AH295" i="15"/>
  <c r="AI295" i="15" s="1"/>
  <c r="AG213" i="15"/>
  <c r="AH213" i="15"/>
  <c r="AI213" i="15" s="1"/>
  <c r="AL113" i="15"/>
  <c r="AM113" i="15" s="1"/>
  <c r="AG105" i="15"/>
  <c r="AK158" i="15"/>
  <c r="AL158" i="15"/>
  <c r="AM158" i="15" s="1"/>
  <c r="AC270" i="15"/>
  <c r="AD270" i="15"/>
  <c r="AE270" i="15" s="1"/>
  <c r="AH229" i="15"/>
  <c r="AI229" i="15" s="1"/>
  <c r="AG229" i="15"/>
  <c r="AL96" i="15"/>
  <c r="AM96" i="15" s="1"/>
  <c r="AH158" i="15"/>
  <c r="AI158" i="15" s="1"/>
  <c r="AK170" i="15"/>
  <c r="AL170" i="15"/>
  <c r="AM170" i="15" s="1"/>
  <c r="Y256" i="15"/>
  <c r="Z256" i="15"/>
  <c r="AA256" i="15" s="1"/>
  <c r="Z277" i="15"/>
  <c r="AA277" i="15" s="1"/>
  <c r="Y277" i="15"/>
  <c r="U259" i="15"/>
  <c r="V259" i="15"/>
  <c r="W259" i="15" s="1"/>
  <c r="AD96" i="15"/>
  <c r="AE96" i="15" s="1"/>
  <c r="AC96" i="15"/>
  <c r="R268" i="15"/>
  <c r="S268" i="15" s="1"/>
  <c r="Q268" i="15"/>
  <c r="V274" i="15"/>
  <c r="W274" i="15" s="1"/>
  <c r="U274" i="15"/>
  <c r="V277" i="15"/>
  <c r="W277" i="15" s="1"/>
  <c r="U277" i="15"/>
  <c r="V133" i="15"/>
  <c r="W133" i="15" s="1"/>
  <c r="Z63" i="15"/>
  <c r="AA63" i="15" s="1"/>
  <c r="Y63" i="15"/>
  <c r="V138" i="15"/>
  <c r="W138" i="15" s="1"/>
  <c r="U138" i="15"/>
  <c r="Y127" i="15"/>
  <c r="Z127" i="15"/>
  <c r="AA127" i="15" s="1"/>
  <c r="Q289" i="15"/>
  <c r="R289" i="15"/>
  <c r="S289" i="15" s="1"/>
  <c r="Q243" i="15"/>
  <c r="R243" i="15"/>
  <c r="S243" i="15" s="1"/>
  <c r="V145" i="15"/>
  <c r="W145" i="15" s="1"/>
  <c r="U145" i="15"/>
  <c r="R244" i="15"/>
  <c r="S244" i="15" s="1"/>
  <c r="Q244" i="15"/>
  <c r="R257" i="15"/>
  <c r="S257" i="15" s="1"/>
  <c r="Q257" i="15"/>
  <c r="R258" i="15"/>
  <c r="S258" i="15" s="1"/>
  <c r="Q258" i="15"/>
  <c r="AK302" i="15"/>
  <c r="AL302" i="15"/>
  <c r="AM302" i="15" s="1"/>
  <c r="AK250" i="15"/>
  <c r="AL250" i="15"/>
  <c r="AM250" i="15" s="1"/>
  <c r="AK221" i="15"/>
  <c r="AL221" i="15"/>
  <c r="AM221" i="15" s="1"/>
  <c r="AK199" i="15"/>
  <c r="AL199" i="15"/>
  <c r="AM199" i="15" s="1"/>
  <c r="AK196" i="15"/>
  <c r="AL196" i="15"/>
  <c r="AM196" i="15" s="1"/>
  <c r="AK122" i="15"/>
  <c r="AL122" i="15"/>
  <c r="AM122" i="15" s="1"/>
  <c r="AD226" i="15"/>
  <c r="AE226" i="15" s="1"/>
  <c r="AC226" i="15"/>
  <c r="Z109" i="15"/>
  <c r="AA109" i="15" s="1"/>
  <c r="Y109" i="15"/>
  <c r="Y107" i="15"/>
  <c r="Z107" i="15"/>
  <c r="AA107" i="15" s="1"/>
  <c r="Z143" i="15"/>
  <c r="AA143" i="15" s="1"/>
  <c r="Y143" i="15"/>
  <c r="U63" i="15"/>
  <c r="V63" i="15"/>
  <c r="W63" i="15" s="1"/>
  <c r="Q142" i="15"/>
  <c r="R142" i="15"/>
  <c r="S142" i="15" s="1"/>
  <c r="G67" i="19"/>
  <c r="G87" i="19" s="1"/>
  <c r="AK295" i="15"/>
  <c r="AG188" i="15"/>
  <c r="AK169" i="15"/>
  <c r="AG221" i="15"/>
  <c r="AH221" i="15"/>
  <c r="AI221" i="15" s="1"/>
  <c r="AL73" i="15"/>
  <c r="AM73" i="15" s="1"/>
  <c r="AK73" i="15"/>
  <c r="R256" i="15"/>
  <c r="S256" i="15" s="1"/>
  <c r="Q256" i="15"/>
  <c r="Q252" i="15"/>
  <c r="R252" i="15"/>
  <c r="S252" i="15" s="1"/>
  <c r="R275" i="15"/>
  <c r="S275" i="15" s="1"/>
  <c r="Q275" i="15"/>
  <c r="Y374" i="15"/>
  <c r="AG312" i="15"/>
  <c r="U402" i="15"/>
  <c r="V402" i="15"/>
  <c r="W402" i="15" s="1"/>
  <c r="R383" i="15"/>
  <c r="S383" i="15" s="1"/>
  <c r="Q383" i="15"/>
  <c r="D531" i="15"/>
  <c r="D298" i="15"/>
  <c r="D655" i="15" s="1"/>
  <c r="G26" i="19"/>
  <c r="G46" i="19" s="1"/>
  <c r="AH268" i="15"/>
  <c r="AI268" i="15" s="1"/>
  <c r="AH238" i="15"/>
  <c r="AI238" i="15" s="1"/>
  <c r="AK257" i="15"/>
  <c r="AK111" i="15"/>
  <c r="AG264" i="15"/>
  <c r="AH264" i="15"/>
  <c r="AI264" i="15" s="1"/>
  <c r="AK225" i="15"/>
  <c r="AL225" i="15"/>
  <c r="AM225" i="15" s="1"/>
  <c r="AL206" i="15"/>
  <c r="AM206" i="15" s="1"/>
  <c r="AK206" i="15"/>
  <c r="AH292" i="15"/>
  <c r="AI292" i="15" s="1"/>
  <c r="AG293" i="15"/>
  <c r="AH299" i="15"/>
  <c r="AI299" i="15" s="1"/>
  <c r="AD233" i="15"/>
  <c r="AE233" i="15" s="1"/>
  <c r="AK161" i="15"/>
  <c r="AL161" i="15"/>
  <c r="AM161" i="15" s="1"/>
  <c r="V238" i="15"/>
  <c r="W238" i="15" s="1"/>
  <c r="Z220" i="15"/>
  <c r="AA220" i="15" s="1"/>
  <c r="Y220" i="15"/>
  <c r="AD298" i="15"/>
  <c r="AE298" i="15" s="1"/>
  <c r="AC298" i="15"/>
  <c r="AG104" i="15"/>
  <c r="AH104" i="15"/>
  <c r="AI104" i="15" s="1"/>
  <c r="AG116" i="15"/>
  <c r="AH116" i="15"/>
  <c r="AI116" i="15" s="1"/>
  <c r="J535" i="15"/>
  <c r="J176" i="15" s="1"/>
  <c r="AC165" i="15"/>
  <c r="AD165" i="15"/>
  <c r="AE165" i="15" s="1"/>
  <c r="AC145" i="15"/>
  <c r="AD145" i="15"/>
  <c r="AE145" i="15" s="1"/>
  <c r="AD128" i="15"/>
  <c r="AE128" i="15" s="1"/>
  <c r="AC128" i="15"/>
  <c r="U187" i="15"/>
  <c r="V187" i="15"/>
  <c r="W187" i="15" s="1"/>
  <c r="R226" i="15"/>
  <c r="S226" i="15" s="1"/>
  <c r="Q226" i="15"/>
  <c r="R234" i="15"/>
  <c r="S234" i="15" s="1"/>
  <c r="Q234" i="15"/>
  <c r="Q230" i="15"/>
  <c r="R230" i="15"/>
  <c r="S230" i="15" s="1"/>
  <c r="V71" i="15"/>
  <c r="W71" i="15" s="1"/>
  <c r="V158" i="15"/>
  <c r="W158" i="15" s="1"/>
  <c r="U158" i="15"/>
  <c r="Z152" i="15"/>
  <c r="AA152" i="15" s="1"/>
  <c r="Y152" i="15"/>
  <c r="U129" i="15"/>
  <c r="V129" i="15"/>
  <c r="W129" i="15" s="1"/>
  <c r="Q233" i="15"/>
  <c r="R233" i="15"/>
  <c r="S233" i="15" s="1"/>
  <c r="V172" i="15"/>
  <c r="W172" i="15" s="1"/>
  <c r="U172" i="15"/>
  <c r="G535" i="15"/>
  <c r="G176" i="15" s="1"/>
  <c r="AG101" i="15"/>
  <c r="AH101" i="15"/>
  <c r="AI101" i="15" s="1"/>
  <c r="AC120" i="15"/>
  <c r="AD120" i="15"/>
  <c r="AE120" i="15" s="1"/>
  <c r="U104" i="15"/>
  <c r="V104" i="15"/>
  <c r="W104" i="15" s="1"/>
  <c r="V240" i="15"/>
  <c r="U240" i="15"/>
  <c r="W353" i="15"/>
  <c r="Z353" i="15"/>
  <c r="AA353" i="15" s="1"/>
  <c r="AL384" i="15"/>
  <c r="AM384" i="15" s="1"/>
  <c r="AK384" i="15"/>
  <c r="AD329" i="15"/>
  <c r="AE329" i="15" s="1"/>
  <c r="AC329" i="15"/>
  <c r="V325" i="15"/>
  <c r="W325" i="15" s="1"/>
  <c r="U325" i="15"/>
  <c r="AD324" i="15"/>
  <c r="AE324" i="15" s="1"/>
  <c r="AC324" i="15"/>
  <c r="R323" i="15"/>
  <c r="S323" i="15" s="1"/>
  <c r="Q323" i="15"/>
  <c r="I183" i="15"/>
  <c r="I311" i="15" s="1"/>
  <c r="I344" i="15" s="1"/>
  <c r="I371" i="15" s="1"/>
  <c r="I398" i="15" s="1"/>
  <c r="I416" i="15" s="1"/>
  <c r="I538" i="15" s="1"/>
  <c r="J183" i="15"/>
  <c r="J311" i="15" s="1"/>
  <c r="J344" i="15" s="1"/>
  <c r="J371" i="15" s="1"/>
  <c r="J398" i="15" s="1"/>
  <c r="J416" i="15" s="1"/>
  <c r="J538" i="15" s="1"/>
  <c r="D226" i="15"/>
  <c r="D583" i="15" s="1"/>
  <c r="AL258" i="15"/>
  <c r="AM258" i="15" s="1"/>
  <c r="J108" i="19"/>
  <c r="J128" i="19" s="1"/>
  <c r="D284" i="15"/>
  <c r="D641" i="15" s="1"/>
  <c r="D273" i="15"/>
  <c r="D630" i="15" s="1"/>
  <c r="Q129" i="15"/>
  <c r="R113" i="15"/>
  <c r="S113" i="15" s="1"/>
  <c r="R95" i="15"/>
  <c r="S95" i="15" s="1"/>
  <c r="AK61" i="15"/>
  <c r="AC232" i="15"/>
  <c r="AC188" i="15"/>
  <c r="Y239" i="15"/>
  <c r="AC295" i="15"/>
  <c r="AC299" i="15"/>
  <c r="AG67" i="15"/>
  <c r="AG61" i="15"/>
  <c r="AC129" i="15"/>
  <c r="AG128" i="15"/>
  <c r="Y190" i="15"/>
  <c r="AD98" i="15"/>
  <c r="AE98" i="15" s="1"/>
  <c r="Z279" i="15"/>
  <c r="AA279" i="15" s="1"/>
  <c r="U250" i="15"/>
  <c r="AC75" i="15"/>
  <c r="AD148" i="15"/>
  <c r="AE148" i="15" s="1"/>
  <c r="AD168" i="15"/>
  <c r="AE168" i="15" s="1"/>
  <c r="V291" i="15"/>
  <c r="W291" i="15" s="1"/>
  <c r="Y71" i="15"/>
  <c r="AC157" i="15"/>
  <c r="AD157" i="15"/>
  <c r="AE157" i="15" s="1"/>
  <c r="AH125" i="15"/>
  <c r="AI125" i="15" s="1"/>
  <c r="AG125" i="15"/>
  <c r="AD171" i="15"/>
  <c r="AE171" i="15" s="1"/>
  <c r="AC171" i="15"/>
  <c r="Q236" i="15"/>
  <c r="V102" i="15"/>
  <c r="W102" i="15" s="1"/>
  <c r="V100" i="15"/>
  <c r="W100" i="15" s="1"/>
  <c r="AG244" i="15"/>
  <c r="Z74" i="15"/>
  <c r="AA74" i="15" s="1"/>
  <c r="Y74" i="15"/>
  <c r="U143" i="15"/>
  <c r="Y161" i="15"/>
  <c r="Z161" i="15"/>
  <c r="AA161" i="15" s="1"/>
  <c r="Y131" i="15"/>
  <c r="Z131" i="15"/>
  <c r="AA131" i="15" s="1"/>
  <c r="U160" i="15"/>
  <c r="V160" i="15"/>
  <c r="W160" i="15" s="1"/>
  <c r="AK408" i="15"/>
  <c r="AK337" i="15"/>
  <c r="AC323" i="15"/>
  <c r="AH316" i="15"/>
  <c r="AI316" i="15" s="1"/>
  <c r="AG316" i="15"/>
  <c r="Y313" i="15"/>
  <c r="V314" i="15"/>
  <c r="U314" i="15"/>
  <c r="R316" i="15"/>
  <c r="S316" i="15" s="1"/>
  <c r="Q316" i="15"/>
  <c r="F184" i="15"/>
  <c r="G58" i="15"/>
  <c r="V408" i="15"/>
  <c r="W408" i="15" s="1"/>
  <c r="U408" i="15"/>
  <c r="AL406" i="15"/>
  <c r="AM406" i="15" s="1"/>
  <c r="AK406" i="15"/>
  <c r="AH405" i="15"/>
  <c r="AI405" i="15" s="1"/>
  <c r="AG405" i="15"/>
  <c r="O379" i="15"/>
  <c r="R379" i="15"/>
  <c r="V363" i="15"/>
  <c r="W363" i="15" s="1"/>
  <c r="U363" i="15"/>
  <c r="AD361" i="15"/>
  <c r="AE361" i="15" s="1"/>
  <c r="AC361" i="15"/>
  <c r="AD360" i="15"/>
  <c r="AE360" i="15" s="1"/>
  <c r="AC360" i="15"/>
  <c r="R266" i="15"/>
  <c r="S266" i="15" s="1"/>
  <c r="Q266" i="15"/>
  <c r="R222" i="15"/>
  <c r="S222" i="15" s="1"/>
  <c r="Q222" i="15"/>
  <c r="U70" i="15"/>
  <c r="V70" i="15"/>
  <c r="W70" i="15" s="1"/>
  <c r="U95" i="15"/>
  <c r="V95" i="15"/>
  <c r="W95" i="15" s="1"/>
  <c r="AC124" i="15"/>
  <c r="AD124" i="15"/>
  <c r="AE124" i="15" s="1"/>
  <c r="R315" i="15"/>
  <c r="S315" i="15" s="1"/>
  <c r="Q315" i="15"/>
  <c r="AD402" i="15"/>
  <c r="AE402" i="15" s="1"/>
  <c r="AC402" i="15"/>
  <c r="E176" i="15"/>
  <c r="H142" i="20" s="1"/>
  <c r="K183" i="15"/>
  <c r="K311" i="15" s="1"/>
  <c r="K344" i="15" s="1"/>
  <c r="K371" i="15" s="1"/>
  <c r="K398" i="15" s="1"/>
  <c r="K416" i="15" s="1"/>
  <c r="K538" i="15" s="1"/>
  <c r="AL106" i="15"/>
  <c r="AM106" i="15" s="1"/>
  <c r="AH133" i="15"/>
  <c r="AI133" i="15" s="1"/>
  <c r="Z275" i="15"/>
  <c r="AA275" i="15" s="1"/>
  <c r="R253" i="15"/>
  <c r="S253" i="15" s="1"/>
  <c r="Z113" i="15"/>
  <c r="AA113" i="15" s="1"/>
  <c r="AD126" i="15"/>
  <c r="AE126" i="15" s="1"/>
  <c r="AC126" i="15"/>
  <c r="V201" i="15"/>
  <c r="W201" i="15" s="1"/>
  <c r="U201" i="15"/>
  <c r="R225" i="15"/>
  <c r="S225" i="15" s="1"/>
  <c r="U294" i="15"/>
  <c r="V294" i="15"/>
  <c r="W294" i="15" s="1"/>
  <c r="V273" i="15"/>
  <c r="W273" i="15" s="1"/>
  <c r="U273" i="15"/>
  <c r="V146" i="15"/>
  <c r="W146" i="15" s="1"/>
  <c r="Z75" i="15"/>
  <c r="AA75" i="15" s="1"/>
  <c r="Y75" i="15"/>
  <c r="Y157" i="15"/>
  <c r="Z157" i="15"/>
  <c r="AA157" i="15" s="1"/>
  <c r="Y133" i="15"/>
  <c r="Z133" i="15"/>
  <c r="AA133" i="15" s="1"/>
  <c r="AG246" i="15"/>
  <c r="U99" i="15"/>
  <c r="V99" i="15"/>
  <c r="W99" i="15" s="1"/>
  <c r="U163" i="15"/>
  <c r="V163" i="15"/>
  <c r="W163" i="15" s="1"/>
  <c r="U120" i="15"/>
  <c r="V120" i="15"/>
  <c r="W120" i="15" s="1"/>
  <c r="U313" i="15"/>
  <c r="Q406" i="15"/>
  <c r="R406" i="15"/>
  <c r="S406" i="15" s="1"/>
  <c r="AD403" i="15"/>
  <c r="AE403" i="15" s="1"/>
  <c r="AC403" i="15"/>
  <c r="Q362" i="15"/>
  <c r="R362" i="15"/>
  <c r="S362" i="15" s="1"/>
  <c r="AG360" i="15"/>
  <c r="AH360" i="15"/>
  <c r="AI360" i="15" s="1"/>
  <c r="AC336" i="15"/>
  <c r="AD336" i="15"/>
  <c r="AE336" i="15" s="1"/>
  <c r="R332" i="15"/>
  <c r="S332" i="15" s="1"/>
  <c r="Q332" i="15"/>
  <c r="AC330" i="15"/>
  <c r="AD330" i="15"/>
  <c r="AE330" i="15" s="1"/>
  <c r="AC319" i="15"/>
  <c r="AD319" i="15"/>
  <c r="AE319" i="15" s="1"/>
  <c r="AK318" i="15"/>
  <c r="AL318" i="15"/>
  <c r="AM318" i="15" s="1"/>
  <c r="Y227" i="15"/>
  <c r="Z227" i="15"/>
  <c r="AA227" i="15" s="1"/>
  <c r="N81" i="15"/>
  <c r="O81" i="15" s="1"/>
  <c r="G81" i="15"/>
  <c r="V378" i="15"/>
  <c r="W378" i="15" s="1"/>
  <c r="U378" i="15"/>
  <c r="AK314" i="15"/>
  <c r="R313" i="15"/>
  <c r="S313" i="15" s="1"/>
  <c r="Q313" i="15"/>
  <c r="Z384" i="15"/>
  <c r="AA384" i="15" s="1"/>
  <c r="Y384" i="15"/>
  <c r="AL359" i="15"/>
  <c r="AM359" i="15" s="1"/>
  <c r="AK359" i="15"/>
  <c r="AL331" i="15"/>
  <c r="AM331" i="15" s="1"/>
  <c r="AK331" i="15"/>
  <c r="Z322" i="15"/>
  <c r="AA322" i="15" s="1"/>
  <c r="Y322" i="15"/>
  <c r="Z372" i="15"/>
  <c r="Y372" i="15"/>
  <c r="AL387" i="15"/>
  <c r="AM387" i="15" s="1"/>
  <c r="AK387" i="15"/>
  <c r="R328" i="15"/>
  <c r="S328" i="15" s="1"/>
  <c r="Q328" i="15"/>
  <c r="V320" i="15"/>
  <c r="W320" i="15" s="1"/>
  <c r="U320" i="15"/>
  <c r="AG317" i="15"/>
  <c r="AH317" i="15"/>
  <c r="AI317" i="15" s="1"/>
  <c r="AK303" i="15"/>
  <c r="AL303" i="15"/>
  <c r="AM303" i="15" s="1"/>
  <c r="N78" i="15"/>
  <c r="O78" i="15" s="1"/>
  <c r="G78" i="15"/>
  <c r="AL47" i="15"/>
  <c r="AM47" i="15" s="1"/>
  <c r="AK47" i="15"/>
  <c r="AL43" i="15"/>
  <c r="AM43" i="15" s="1"/>
  <c r="AK43" i="15"/>
  <c r="AL39" i="15"/>
  <c r="AM39" i="15" s="1"/>
  <c r="AK39" i="15"/>
  <c r="AL35" i="15"/>
  <c r="AM35" i="15" s="1"/>
  <c r="AK35" i="15"/>
  <c r="AL31" i="15"/>
  <c r="AM31" i="15" s="1"/>
  <c r="AK31" i="15"/>
  <c r="AL27" i="15"/>
  <c r="AM27" i="15" s="1"/>
  <c r="AK27" i="15"/>
  <c r="AL23" i="15"/>
  <c r="AM23" i="15" s="1"/>
  <c r="AK23" i="15"/>
  <c r="AG387" i="15"/>
  <c r="O349" i="15"/>
  <c r="R349" i="15"/>
  <c r="S349" i="15" s="1"/>
  <c r="Z48" i="15"/>
  <c r="AA48" i="15" s="1"/>
  <c r="Y48" i="15"/>
  <c r="Z44" i="15"/>
  <c r="AA44" i="15" s="1"/>
  <c r="Y44" i="15"/>
  <c r="Z40" i="15"/>
  <c r="AA40" i="15" s="1"/>
  <c r="Y40" i="15"/>
  <c r="Z36" i="15"/>
  <c r="AA36" i="15" s="1"/>
  <c r="Y36" i="15"/>
  <c r="Z32" i="15"/>
  <c r="AA32" i="15" s="1"/>
  <c r="Y32" i="15"/>
  <c r="Z28" i="15"/>
  <c r="AA28" i="15" s="1"/>
  <c r="Y28" i="15"/>
  <c r="Z24" i="15"/>
  <c r="AA24" i="15" s="1"/>
  <c r="Y24" i="15"/>
  <c r="Q108" i="15"/>
  <c r="R148" i="15"/>
  <c r="S148" i="15" s="1"/>
  <c r="R375" i="15"/>
  <c r="S375" i="15" s="1"/>
  <c r="Z376" i="15"/>
  <c r="AA376" i="15" s="1"/>
  <c r="V346" i="15"/>
  <c r="U346" i="15"/>
  <c r="AG333" i="15"/>
  <c r="AH333" i="15"/>
  <c r="AI333" i="15" s="1"/>
  <c r="N85" i="15"/>
  <c r="O85" i="15" s="1"/>
  <c r="G85" i="15"/>
  <c r="N83" i="15"/>
  <c r="O83" i="15" s="1"/>
  <c r="G83" i="15"/>
  <c r="N80" i="15"/>
  <c r="O80" i="15" s="1"/>
  <c r="G80" i="15"/>
  <c r="U48" i="15"/>
  <c r="V48" i="15"/>
  <c r="W48" i="15" s="1"/>
  <c r="U44" i="15"/>
  <c r="V44" i="15"/>
  <c r="W44" i="15" s="1"/>
  <c r="U40" i="15"/>
  <c r="V40" i="15"/>
  <c r="W40" i="15" s="1"/>
  <c r="U36" i="15"/>
  <c r="V36" i="15"/>
  <c r="W36" i="15" s="1"/>
  <c r="U32" i="15"/>
  <c r="V32" i="15"/>
  <c r="W32" i="15" s="1"/>
  <c r="U28" i="15"/>
  <c r="V28" i="15"/>
  <c r="W28" i="15" s="1"/>
  <c r="U24" i="15"/>
  <c r="V24" i="15"/>
  <c r="W24" i="15" s="1"/>
  <c r="V349" i="15"/>
  <c r="W349" i="15" s="1"/>
  <c r="Z45" i="15"/>
  <c r="AA45" i="15" s="1"/>
  <c r="Y45" i="15"/>
  <c r="Z41" i="15"/>
  <c r="AA41" i="15" s="1"/>
  <c r="Y41" i="15"/>
  <c r="Z37" i="15"/>
  <c r="AA37" i="15" s="1"/>
  <c r="Y37" i="15"/>
  <c r="Z25" i="15"/>
  <c r="AA25" i="15" s="1"/>
  <c r="Y25" i="15"/>
  <c r="Y29" i="15"/>
  <c r="AD45" i="15"/>
  <c r="AE45" i="15" s="1"/>
  <c r="AC45" i="15"/>
  <c r="AD37" i="15"/>
  <c r="AE37" i="15" s="1"/>
  <c r="AC37" i="15"/>
  <c r="AD33" i="15"/>
  <c r="AE33" i="15" s="1"/>
  <c r="AC33" i="15"/>
  <c r="AD29" i="15"/>
  <c r="AE29" i="15" s="1"/>
  <c r="AC29" i="15"/>
  <c r="AD25" i="15"/>
  <c r="AE25" i="15" s="1"/>
  <c r="AC25" i="15"/>
  <c r="AC49" i="15"/>
  <c r="R312" i="15"/>
  <c r="Y33" i="15"/>
  <c r="AC41" i="15"/>
  <c r="AL51" i="15"/>
  <c r="AM51" i="15" s="1"/>
  <c r="AK51" i="15"/>
  <c r="F261" i="15"/>
  <c r="G135" i="15"/>
  <c r="F185" i="15"/>
  <c r="G59" i="15"/>
  <c r="G84" i="15"/>
  <c r="N79" i="15"/>
  <c r="O79" i="15" s="1"/>
  <c r="G79" i="15"/>
  <c r="Q45" i="15"/>
  <c r="Q29" i="15"/>
  <c r="U41" i="15"/>
  <c r="V347" i="15"/>
  <c r="Z347" i="15" s="1"/>
  <c r="G89" i="15"/>
  <c r="F215" i="15"/>
  <c r="N86" i="15"/>
  <c r="O86" i="15" s="1"/>
  <c r="G86" i="15"/>
  <c r="N82" i="15"/>
  <c r="O82" i="15" s="1"/>
  <c r="G82" i="15"/>
  <c r="Q48" i="15"/>
  <c r="R48" i="15"/>
  <c r="S48" i="15" s="1"/>
  <c r="Q44" i="15"/>
  <c r="R44" i="15"/>
  <c r="S44" i="15" s="1"/>
  <c r="Q40" i="15"/>
  <c r="R40" i="15"/>
  <c r="S40" i="15" s="1"/>
  <c r="Q36" i="15"/>
  <c r="R36" i="15"/>
  <c r="S36" i="15" s="1"/>
  <c r="Q32" i="15"/>
  <c r="R32" i="15"/>
  <c r="S32" i="15" s="1"/>
  <c r="Q28" i="15"/>
  <c r="R28" i="15"/>
  <c r="S28" i="15" s="1"/>
  <c r="Q24" i="15"/>
  <c r="R24" i="15"/>
  <c r="S24" i="15" s="1"/>
  <c r="Q49" i="15"/>
  <c r="U45" i="15"/>
  <c r="U29" i="15"/>
  <c r="AH48" i="15"/>
  <c r="AI48" i="15" s="1"/>
  <c r="AG48" i="15"/>
  <c r="AH44" i="15"/>
  <c r="AI44" i="15" s="1"/>
  <c r="AG44" i="15"/>
  <c r="AH40" i="15"/>
  <c r="AI40" i="15" s="1"/>
  <c r="AG40" i="15"/>
  <c r="AH36" i="15"/>
  <c r="AI36" i="15" s="1"/>
  <c r="AG36" i="15"/>
  <c r="AH32" i="15"/>
  <c r="AI32" i="15" s="1"/>
  <c r="AG32" i="15"/>
  <c r="AH28" i="15"/>
  <c r="AI28" i="15" s="1"/>
  <c r="AG28" i="15"/>
  <c r="AH24" i="15"/>
  <c r="AI24" i="15" s="1"/>
  <c r="AG24" i="15"/>
  <c r="Y42" i="15"/>
  <c r="Y26" i="15"/>
  <c r="AD48" i="15"/>
  <c r="AE48" i="15" s="1"/>
  <c r="AC48" i="15"/>
  <c r="AD44" i="15"/>
  <c r="AE44" i="15" s="1"/>
  <c r="AC44" i="15"/>
  <c r="AD40" i="15"/>
  <c r="AE40" i="15" s="1"/>
  <c r="AC40" i="15"/>
  <c r="AD36" i="15"/>
  <c r="AE36" i="15" s="1"/>
  <c r="AC36" i="15"/>
  <c r="AD32" i="15"/>
  <c r="AE32" i="15" s="1"/>
  <c r="AC32" i="15"/>
  <c r="AD28" i="15"/>
  <c r="AE28" i="15" s="1"/>
  <c r="AC28" i="15"/>
  <c r="AD24" i="15"/>
  <c r="AE24" i="15" s="1"/>
  <c r="AC24" i="15"/>
  <c r="AG49" i="15"/>
  <c r="AG41" i="15"/>
  <c r="AG33" i="15"/>
  <c r="AG25" i="15"/>
  <c r="AK48" i="15"/>
  <c r="AK40" i="15"/>
  <c r="AK32" i="15"/>
  <c r="AK24" i="15"/>
  <c r="R68" i="15"/>
  <c r="S68" i="15" s="1"/>
  <c r="R74" i="15"/>
  <c r="S74" i="15" s="1"/>
  <c r="AL112" i="15"/>
  <c r="AM112" i="15" s="1"/>
  <c r="AL109" i="15"/>
  <c r="AM109" i="15" s="1"/>
  <c r="AL98" i="15"/>
  <c r="AM98" i="15" s="1"/>
  <c r="AL65" i="15"/>
  <c r="AM65" i="15" s="1"/>
  <c r="AK68" i="15"/>
  <c r="AD122" i="15"/>
  <c r="AE122" i="15" s="1"/>
  <c r="AD62" i="15"/>
  <c r="AE62" i="15" s="1"/>
  <c r="AH62" i="15"/>
  <c r="AI62" i="15" s="1"/>
  <c r="AG62" i="15"/>
  <c r="AD69" i="15"/>
  <c r="AE69" i="15" s="1"/>
  <c r="AC69" i="15"/>
  <c r="AC107" i="15"/>
  <c r="AD107" i="15"/>
  <c r="AE107" i="15" s="1"/>
  <c r="V74" i="15"/>
  <c r="W74" i="15" s="1"/>
  <c r="Y73" i="15"/>
  <c r="Z73" i="15"/>
  <c r="AA73" i="15" s="1"/>
  <c r="U122" i="15"/>
  <c r="V122" i="15"/>
  <c r="W122" i="15" s="1"/>
  <c r="AD119" i="15"/>
  <c r="AE119" i="15" s="1"/>
  <c r="AC119" i="15"/>
  <c r="AL108" i="15"/>
  <c r="AM108" i="15" s="1"/>
  <c r="AK108" i="15"/>
  <c r="AD111" i="15"/>
  <c r="AE111" i="15" s="1"/>
  <c r="AC111" i="15"/>
  <c r="Y102" i="15"/>
  <c r="Z102" i="15"/>
  <c r="AA102" i="15" s="1"/>
  <c r="U103" i="15"/>
  <c r="V103" i="15"/>
  <c r="W103" i="15" s="1"/>
  <c r="U98" i="15"/>
  <c r="V98" i="15"/>
  <c r="W98" i="15" s="1"/>
  <c r="V119" i="15"/>
  <c r="W119" i="15" s="1"/>
  <c r="U119" i="15"/>
  <c r="AL121" i="15"/>
  <c r="AM121" i="15" s="1"/>
  <c r="AL120" i="15"/>
  <c r="AM120" i="15" s="1"/>
  <c r="AK120" i="15"/>
  <c r="U73" i="15"/>
  <c r="V73" i="15"/>
  <c r="W73" i="15" s="1"/>
  <c r="U67" i="15"/>
  <c r="V67" i="15"/>
  <c r="W67" i="15" s="1"/>
  <c r="U62" i="15"/>
  <c r="V62" i="15"/>
  <c r="W62" i="15" s="1"/>
  <c r="V97" i="15"/>
  <c r="W97" i="15" s="1"/>
  <c r="U97" i="15"/>
  <c r="U117" i="15"/>
  <c r="V117" i="15"/>
  <c r="W117" i="15" s="1"/>
  <c r="AL95" i="15"/>
  <c r="AM95" i="15" s="1"/>
  <c r="AH100" i="15"/>
  <c r="AI100" i="15" s="1"/>
  <c r="AH69" i="15"/>
  <c r="AI69" i="15" s="1"/>
  <c r="AG69" i="15"/>
  <c r="AC72" i="15"/>
  <c r="AD72" i="15"/>
  <c r="AE72" i="15" s="1"/>
  <c r="V111" i="15"/>
  <c r="W111" i="15" s="1"/>
  <c r="Y118" i="15"/>
  <c r="Z118" i="15"/>
  <c r="AA118" i="15" s="1"/>
  <c r="U101" i="15"/>
  <c r="V101" i="15"/>
  <c r="W101" i="15" s="1"/>
  <c r="Z117" i="15"/>
  <c r="AA117" i="15" s="1"/>
  <c r="Y117" i="15"/>
  <c r="Y100" i="15"/>
  <c r="Z100" i="15"/>
  <c r="AA100" i="15" s="1"/>
  <c r="Y95" i="15"/>
  <c r="Z95" i="15"/>
  <c r="AA95" i="15" s="1"/>
  <c r="U112" i="15"/>
  <c r="V112" i="15"/>
  <c r="W112" i="15" s="1"/>
  <c r="Q100" i="15"/>
  <c r="R100" i="15"/>
  <c r="S100" i="15" s="1"/>
  <c r="Y69" i="15"/>
  <c r="Z69" i="15"/>
  <c r="AA69" i="15" s="1"/>
  <c r="Y70" i="15"/>
  <c r="Z70" i="15"/>
  <c r="AA70" i="15" s="1"/>
  <c r="U69" i="15"/>
  <c r="V69" i="15"/>
  <c r="W69" i="15" s="1"/>
  <c r="E115" i="15"/>
  <c r="E241" i="15" s="1"/>
  <c r="F114" i="15"/>
  <c r="N114" i="15" s="1"/>
  <c r="O114" i="15" s="1"/>
  <c r="R115" i="15"/>
  <c r="G102" i="4"/>
  <c r="G114" i="15"/>
  <c r="U71" i="19"/>
  <c r="T71" i="19"/>
  <c r="V71" i="19" s="1"/>
  <c r="I111" i="19"/>
  <c r="S111" i="19"/>
  <c r="T117" i="19"/>
  <c r="U117" i="19"/>
  <c r="I113" i="19"/>
  <c r="S113" i="19"/>
  <c r="X115" i="19"/>
  <c r="I109" i="19"/>
  <c r="S109" i="19"/>
  <c r="I118" i="19"/>
  <c r="W118" i="19" s="1"/>
  <c r="S118" i="19"/>
  <c r="U118" i="19" s="1"/>
  <c r="H112" i="19"/>
  <c r="H135" i="19"/>
  <c r="S135" i="19" s="1"/>
  <c r="H119" i="19"/>
  <c r="Q131" i="19"/>
  <c r="R131" i="19" s="1"/>
  <c r="Q129" i="19"/>
  <c r="R129" i="19" s="1"/>
  <c r="S115" i="19"/>
  <c r="J117" i="19"/>
  <c r="Q139" i="19"/>
  <c r="R139" i="19" s="1"/>
  <c r="W121" i="19"/>
  <c r="H120" i="19"/>
  <c r="H116" i="19"/>
  <c r="S116" i="19" s="1"/>
  <c r="H137" i="19"/>
  <c r="I137" i="19" s="1"/>
  <c r="S68" i="19"/>
  <c r="T68" i="19" s="1"/>
  <c r="V68" i="19" s="1"/>
  <c r="I68" i="19"/>
  <c r="K73" i="19"/>
  <c r="AA73" i="19"/>
  <c r="I91" i="19"/>
  <c r="J91" i="19" s="1"/>
  <c r="AA91" i="19" s="1"/>
  <c r="S91" i="19"/>
  <c r="S72" i="19"/>
  <c r="I72" i="19"/>
  <c r="H100" i="19"/>
  <c r="I100" i="19" s="1"/>
  <c r="S77" i="19"/>
  <c r="T77" i="19" s="1"/>
  <c r="Q72" i="19"/>
  <c r="R72" i="19" s="1"/>
  <c r="H80" i="19"/>
  <c r="K77" i="19"/>
  <c r="H76" i="19"/>
  <c r="V89" i="19"/>
  <c r="H78" i="19"/>
  <c r="H70" i="19"/>
  <c r="U89" i="19"/>
  <c r="W77" i="19"/>
  <c r="H79" i="19"/>
  <c r="H74" i="19"/>
  <c r="H92" i="19"/>
  <c r="I92" i="19" s="1"/>
  <c r="S39" i="19"/>
  <c r="I39" i="19"/>
  <c r="S35" i="19"/>
  <c r="I35" i="19"/>
  <c r="I31" i="19"/>
  <c r="S31" i="19"/>
  <c r="T31" i="19" s="1"/>
  <c r="I27" i="19"/>
  <c r="S27" i="19"/>
  <c r="T27" i="19" s="1"/>
  <c r="S37" i="19"/>
  <c r="I37" i="19"/>
  <c r="I29" i="19"/>
  <c r="S29" i="19"/>
  <c r="I47" i="19"/>
  <c r="S47" i="19"/>
  <c r="T47" i="19" s="1"/>
  <c r="H28" i="19"/>
  <c r="Q36" i="19"/>
  <c r="R36" i="19" s="1"/>
  <c r="H55" i="19"/>
  <c r="Q47" i="19"/>
  <c r="R47" i="19" s="1"/>
  <c r="H32" i="19"/>
  <c r="I32" i="19" s="1"/>
  <c r="Q57" i="19"/>
  <c r="R57" i="19" s="1"/>
  <c r="H34" i="19"/>
  <c r="H59" i="19"/>
  <c r="I59" i="19" s="1"/>
  <c r="J59" i="19" s="1"/>
  <c r="K111" i="21"/>
  <c r="R197" i="20"/>
  <c r="K47" i="21"/>
  <c r="O203" i="20" s="1"/>
  <c r="N47" i="21"/>
  <c r="R203" i="20" s="1"/>
  <c r="P45" i="21"/>
  <c r="Q45" i="21" s="1"/>
  <c r="K197" i="20"/>
  <c r="N197" i="20"/>
  <c r="M46" i="21"/>
  <c r="Q200" i="20" s="1"/>
  <c r="L111" i="21"/>
  <c r="O45" i="21"/>
  <c r="S197" i="20" s="1"/>
  <c r="H47" i="21"/>
  <c r="L203" i="20" s="1"/>
  <c r="O110" i="21"/>
  <c r="O109" i="21"/>
  <c r="O106" i="21"/>
  <c r="H111" i="21"/>
  <c r="F111" i="21"/>
  <c r="I111" i="21"/>
  <c r="N46" i="21"/>
  <c r="L35" i="21"/>
  <c r="L101" i="21" s="1"/>
  <c r="K46" i="21"/>
  <c r="O200" i="20" s="1"/>
  <c r="O94" i="21"/>
  <c r="E100" i="21"/>
  <c r="E46" i="21"/>
  <c r="I200" i="20" s="1"/>
  <c r="D100" i="21"/>
  <c r="D47" i="21"/>
  <c r="D101" i="21"/>
  <c r="D46" i="21"/>
  <c r="P34" i="21"/>
  <c r="Q34" i="21" s="1"/>
  <c r="R195" i="20"/>
  <c r="R200" i="20"/>
  <c r="N115" i="21"/>
  <c r="M100" i="21"/>
  <c r="M35" i="21"/>
  <c r="M47" i="21" s="1"/>
  <c r="Q203" i="20" s="1"/>
  <c r="L47" i="21"/>
  <c r="P203" i="20" s="1"/>
  <c r="K116" i="21"/>
  <c r="I35" i="21"/>
  <c r="I47" i="21" s="1"/>
  <c r="M203" i="20" s="1"/>
  <c r="I46" i="21"/>
  <c r="M200" i="20" s="1"/>
  <c r="L195" i="20"/>
  <c r="F35" i="21"/>
  <c r="F47" i="21" s="1"/>
  <c r="J203" i="20" s="1"/>
  <c r="F46" i="21"/>
  <c r="J200" i="20" s="1"/>
  <c r="G116" i="21"/>
  <c r="F100" i="21"/>
  <c r="O34" i="21"/>
  <c r="S195" i="20" s="1"/>
  <c r="K112" i="21"/>
  <c r="J35" i="21"/>
  <c r="H46" i="21"/>
  <c r="L200" i="20" s="1"/>
  <c r="J46" i="21"/>
  <c r="N200" i="20" s="1"/>
  <c r="H115" i="21"/>
  <c r="P47" i="21"/>
  <c r="Q47" i="21" s="1"/>
  <c r="G46" i="21"/>
  <c r="G35" i="21"/>
  <c r="P195" i="20"/>
  <c r="N195" i="20"/>
  <c r="H100" i="21"/>
  <c r="I100" i="21"/>
  <c r="H101" i="21"/>
  <c r="O49" i="21"/>
  <c r="O115" i="21" s="1"/>
  <c r="L115" i="21"/>
  <c r="L113" i="21"/>
  <c r="G100" i="21"/>
  <c r="K195" i="20"/>
  <c r="L46" i="21"/>
  <c r="P200" i="20" s="1"/>
  <c r="E47" i="21"/>
  <c r="E113" i="21" s="1"/>
  <c r="E101" i="21"/>
  <c r="P35" i="21"/>
  <c r="Q35" i="21" s="1"/>
  <c r="E115" i="21"/>
  <c r="J136" i="19"/>
  <c r="W136" i="19"/>
  <c r="T135" i="19"/>
  <c r="U135" i="19"/>
  <c r="I142" i="19"/>
  <c r="J142" i="19" s="1"/>
  <c r="S142" i="19"/>
  <c r="S134" i="19"/>
  <c r="T134" i="19" s="1"/>
  <c r="I134" i="19"/>
  <c r="I130" i="19"/>
  <c r="J130" i="19" s="1"/>
  <c r="S130" i="19"/>
  <c r="U130" i="19" s="1"/>
  <c r="S139" i="19"/>
  <c r="I139" i="19"/>
  <c r="S133" i="19"/>
  <c r="I133" i="19"/>
  <c r="J137" i="19"/>
  <c r="W137" i="19"/>
  <c r="H138" i="19"/>
  <c r="S137" i="19"/>
  <c r="S136" i="19"/>
  <c r="U136" i="19" s="1"/>
  <c r="S132" i="19"/>
  <c r="Q130" i="19"/>
  <c r="R130" i="19" s="1"/>
  <c r="I135" i="19"/>
  <c r="I131" i="19"/>
  <c r="Q142" i="19"/>
  <c r="R142" i="19" s="1"/>
  <c r="Q134" i="19"/>
  <c r="R134" i="19" s="1"/>
  <c r="H141" i="19"/>
  <c r="H140" i="19"/>
  <c r="I129" i="19"/>
  <c r="S129" i="19"/>
  <c r="I98" i="19"/>
  <c r="S98" i="19"/>
  <c r="J92" i="19"/>
  <c r="K92" i="19" s="1"/>
  <c r="W92" i="19"/>
  <c r="J100" i="19"/>
  <c r="AA100" i="19" s="1"/>
  <c r="W100" i="19"/>
  <c r="S94" i="19"/>
  <c r="T94" i="19" s="1"/>
  <c r="I94" i="19"/>
  <c r="W94" i="19" s="1"/>
  <c r="I90" i="19"/>
  <c r="S90" i="19"/>
  <c r="T90" i="19" s="1"/>
  <c r="I101" i="19"/>
  <c r="J101" i="19" s="1"/>
  <c r="AA101" i="19" s="1"/>
  <c r="S101" i="19"/>
  <c r="T101" i="19" s="1"/>
  <c r="I97" i="19"/>
  <c r="S97" i="19"/>
  <c r="T97" i="19" s="1"/>
  <c r="S100" i="19"/>
  <c r="T100" i="19" s="1"/>
  <c r="Q101" i="19"/>
  <c r="R101" i="19" s="1"/>
  <c r="Q98" i="19"/>
  <c r="R98" i="19" s="1"/>
  <c r="H96" i="19"/>
  <c r="H93" i="19"/>
  <c r="I93" i="19" s="1"/>
  <c r="W93" i="19" s="1"/>
  <c r="S99" i="19"/>
  <c r="U99" i="19" s="1"/>
  <c r="S92" i="19"/>
  <c r="U92" i="19" s="1"/>
  <c r="W91" i="19"/>
  <c r="W89" i="19"/>
  <c r="Y89" i="19" s="1"/>
  <c r="K89" i="19"/>
  <c r="H88" i="19"/>
  <c r="I48" i="19"/>
  <c r="J48" i="19" s="1"/>
  <c r="S48" i="19"/>
  <c r="I57" i="19"/>
  <c r="S57" i="19"/>
  <c r="I53" i="19"/>
  <c r="J53" i="19" s="1"/>
  <c r="S53" i="19"/>
  <c r="S49" i="19"/>
  <c r="I49" i="19"/>
  <c r="Q53" i="19"/>
  <c r="R53" i="19" s="1"/>
  <c r="H56" i="19"/>
  <c r="H54" i="19"/>
  <c r="S54" i="19" s="1"/>
  <c r="S59" i="19"/>
  <c r="U59" i="19" s="1"/>
  <c r="H51" i="19"/>
  <c r="H50" i="19"/>
  <c r="W47" i="19"/>
  <c r="X47" i="19" s="1"/>
  <c r="J47" i="19"/>
  <c r="K47" i="19" s="1"/>
  <c r="Z346" i="15"/>
  <c r="AA346" i="15" s="1"/>
  <c r="W346" i="15"/>
  <c r="AA352" i="15"/>
  <c r="AD352" i="15"/>
  <c r="W347" i="15"/>
  <c r="W352" i="15"/>
  <c r="Z348" i="15"/>
  <c r="AD351" i="15"/>
  <c r="AE351" i="15" s="1"/>
  <c r="U349" i="15"/>
  <c r="Y375" i="15"/>
  <c r="Y373" i="15"/>
  <c r="Z377" i="15"/>
  <c r="AK377" i="15"/>
  <c r="Y379" i="15"/>
  <c r="AK375" i="15"/>
  <c r="U377" i="15"/>
  <c r="V380" i="15"/>
  <c r="W380" i="15" s="1"/>
  <c r="V376" i="15"/>
  <c r="W376" i="15" s="1"/>
  <c r="Y376" i="15"/>
  <c r="V375" i="15"/>
  <c r="W375" i="15" s="1"/>
  <c r="R374" i="15"/>
  <c r="R373" i="15"/>
  <c r="S373" i="15" s="1"/>
  <c r="R378" i="15"/>
  <c r="S378" i="15" s="1"/>
  <c r="Q375" i="15"/>
  <c r="R361" i="15"/>
  <c r="S361" i="15" s="1"/>
  <c r="R357" i="15"/>
  <c r="S357" i="15" s="1"/>
  <c r="Q353" i="15"/>
  <c r="U351" i="15"/>
  <c r="R350" i="15"/>
  <c r="S350" i="15" s="1"/>
  <c r="U350" i="15"/>
  <c r="R345" i="15"/>
  <c r="S345" i="15" s="1"/>
  <c r="AG313" i="15"/>
  <c r="AK312" i="15"/>
  <c r="AG314" i="15"/>
  <c r="R314" i="15"/>
  <c r="S314" i="15" s="1"/>
  <c r="R400" i="15"/>
  <c r="R399" i="15"/>
  <c r="S399" i="15" s="1"/>
  <c r="W240" i="15"/>
  <c r="Z240" i="15"/>
  <c r="AK205" i="15"/>
  <c r="AK210" i="15"/>
  <c r="Q213" i="15"/>
  <c r="AI176" i="15"/>
  <c r="N146" i="20" s="1"/>
  <c r="E302" i="15"/>
  <c r="I159" i="20"/>
  <c r="I145" i="20"/>
  <c r="I228" i="20" s="1"/>
  <c r="O176" i="15"/>
  <c r="I144" i="20" s="1"/>
  <c r="L145" i="20"/>
  <c r="L228" i="20" s="1"/>
  <c r="F87" i="15"/>
  <c r="G87" i="15" s="1"/>
  <c r="D80" i="21"/>
  <c r="D113" i="21" s="1"/>
  <c r="E79" i="21"/>
  <c r="H80" i="21"/>
  <c r="E80" i="21"/>
  <c r="M111" i="21"/>
  <c r="P78" i="21"/>
  <c r="Q78" i="21" s="1"/>
  <c r="N80" i="21"/>
  <c r="N101" i="21"/>
  <c r="P68" i="21"/>
  <c r="Q68" i="21" s="1"/>
  <c r="F68" i="21"/>
  <c r="I68" i="21"/>
  <c r="N100" i="21"/>
  <c r="I79" i="21"/>
  <c r="N79" i="21"/>
  <c r="K68" i="21"/>
  <c r="F79" i="21"/>
  <c r="M80" i="21"/>
  <c r="K100" i="21"/>
  <c r="P67" i="21"/>
  <c r="Q67" i="21" s="1"/>
  <c r="G95" i="18"/>
  <c r="L101" i="20" s="1"/>
  <c r="L95" i="18"/>
  <c r="Q101" i="20" s="1"/>
  <c r="J95" i="18"/>
  <c r="O101" i="20" s="1"/>
  <c r="N94" i="18"/>
  <c r="O99" i="20"/>
  <c r="F95" i="18"/>
  <c r="K101" i="20" s="1"/>
  <c r="I99" i="20"/>
  <c r="K95" i="18"/>
  <c r="P101" i="20" s="1"/>
  <c r="I95" i="18"/>
  <c r="N101" i="20" s="1"/>
  <c r="E95" i="18"/>
  <c r="J101" i="20" s="1"/>
  <c r="M95" i="18"/>
  <c r="R101" i="20" s="1"/>
  <c r="H95" i="18"/>
  <c r="M101" i="20" s="1"/>
  <c r="H81" i="18"/>
  <c r="K81" i="18"/>
  <c r="P97" i="20" s="1"/>
  <c r="K97" i="20"/>
  <c r="I95" i="20"/>
  <c r="M81" i="18"/>
  <c r="R97" i="20" s="1"/>
  <c r="D97" i="18"/>
  <c r="N185" i="20"/>
  <c r="J81" i="18"/>
  <c r="G81" i="18"/>
  <c r="E81" i="18"/>
  <c r="L81" i="18"/>
  <c r="Q97" i="20" s="1"/>
  <c r="D81" i="18"/>
  <c r="I181" i="20"/>
  <c r="I93" i="20"/>
  <c r="J132" i="19"/>
  <c r="W132" i="19"/>
  <c r="U134" i="19"/>
  <c r="T130" i="19"/>
  <c r="V130" i="19" s="1"/>
  <c r="K121" i="19"/>
  <c r="AA121" i="19"/>
  <c r="Y117" i="19"/>
  <c r="X117" i="19"/>
  <c r="T118" i="19"/>
  <c r="S122" i="19"/>
  <c r="I122" i="19"/>
  <c r="K117" i="19"/>
  <c r="AA117" i="19"/>
  <c r="S114" i="19"/>
  <c r="U111" i="19"/>
  <c r="T111" i="19"/>
  <c r="X114" i="19"/>
  <c r="J115" i="19"/>
  <c r="K114" i="19"/>
  <c r="I116" i="19"/>
  <c r="J118" i="19"/>
  <c r="I110" i="19"/>
  <c r="S110" i="19"/>
  <c r="U121" i="19"/>
  <c r="V121" i="19" s="1"/>
  <c r="AA92" i="19"/>
  <c r="U101" i="19"/>
  <c r="J93" i="19"/>
  <c r="U97" i="19"/>
  <c r="X89" i="19"/>
  <c r="Z89" i="19" s="1"/>
  <c r="S95" i="19"/>
  <c r="S93" i="19"/>
  <c r="T92" i="19"/>
  <c r="K101" i="19"/>
  <c r="J99" i="19"/>
  <c r="W99" i="19"/>
  <c r="J95" i="19"/>
  <c r="W95" i="19"/>
  <c r="T99" i="19"/>
  <c r="V99" i="19" s="1"/>
  <c r="K91" i="19"/>
  <c r="AB89" i="19"/>
  <c r="AD89" i="19" s="1"/>
  <c r="AC89" i="19"/>
  <c r="U94" i="19"/>
  <c r="U90" i="19"/>
  <c r="L73" i="19"/>
  <c r="AI73" i="19"/>
  <c r="S81" i="19"/>
  <c r="I81" i="19"/>
  <c r="AB73" i="19"/>
  <c r="S73" i="19"/>
  <c r="U68" i="19"/>
  <c r="J71" i="19"/>
  <c r="W71" i="19"/>
  <c r="S75" i="19"/>
  <c r="I75" i="19"/>
  <c r="W73" i="19"/>
  <c r="I69" i="19"/>
  <c r="S69" i="19"/>
  <c r="T72" i="19"/>
  <c r="I60" i="19"/>
  <c r="S60" i="19"/>
  <c r="K53" i="19"/>
  <c r="AA53" i="19"/>
  <c r="W53" i="19"/>
  <c r="I58" i="19"/>
  <c r="S58" i="19"/>
  <c r="S50" i="19"/>
  <c r="T50" i="19" s="1"/>
  <c r="I50" i="19"/>
  <c r="I52" i="19"/>
  <c r="S52" i="19"/>
  <c r="T52" i="19" s="1"/>
  <c r="AA47" i="19"/>
  <c r="S56" i="19"/>
  <c r="U56" i="19" s="1"/>
  <c r="I56" i="19"/>
  <c r="AA33" i="19"/>
  <c r="K33" i="19"/>
  <c r="J40" i="19"/>
  <c r="W40" i="19"/>
  <c r="J32" i="19"/>
  <c r="W32" i="19"/>
  <c r="W33" i="19"/>
  <c r="S32" i="19"/>
  <c r="I38" i="19"/>
  <c r="S38" i="19"/>
  <c r="S30" i="19"/>
  <c r="I30" i="19"/>
  <c r="S40" i="19"/>
  <c r="S36" i="19"/>
  <c r="U36" i="19" s="1"/>
  <c r="I36" i="19"/>
  <c r="S28" i="19"/>
  <c r="I28" i="19"/>
  <c r="U33" i="19"/>
  <c r="V33" i="19" s="1"/>
  <c r="U27" i="19"/>
  <c r="G102" i="3"/>
  <c r="G93" i="4"/>
  <c r="G94" i="4"/>
  <c r="G99" i="4"/>
  <c r="L141" i="4"/>
  <c r="N135" i="15"/>
  <c r="O135" i="15" s="1"/>
  <c r="F155" i="15"/>
  <c r="G61" i="4"/>
  <c r="L70" i="4"/>
  <c r="F136" i="15"/>
  <c r="L36" i="4"/>
  <c r="F91" i="15" s="1"/>
  <c r="G36" i="4"/>
  <c r="F37" i="4"/>
  <c r="N89" i="15"/>
  <c r="O89" i="15" s="1"/>
  <c r="L35" i="4"/>
  <c r="G34" i="4"/>
  <c r="F93" i="15"/>
  <c r="N58" i="15"/>
  <c r="O58" i="15" s="1"/>
  <c r="G13" i="4"/>
  <c r="L33" i="4"/>
  <c r="E84" i="15"/>
  <c r="E210" i="15" s="1"/>
  <c r="G95" i="3"/>
  <c r="D437" i="15"/>
  <c r="L143" i="3"/>
  <c r="G96" i="3"/>
  <c r="G93" i="3"/>
  <c r="L72" i="3"/>
  <c r="L85" i="3" s="1"/>
  <c r="E136" i="15"/>
  <c r="L61" i="3"/>
  <c r="G38" i="3"/>
  <c r="E134" i="15"/>
  <c r="D218" i="15"/>
  <c r="D575" i="15" s="1"/>
  <c r="G37" i="3"/>
  <c r="E59" i="15"/>
  <c r="E185" i="15" s="1"/>
  <c r="G15" i="3"/>
  <c r="E58" i="15"/>
  <c r="S115" i="15" l="1"/>
  <c r="V115" i="15"/>
  <c r="G185" i="15"/>
  <c r="H59" i="15"/>
  <c r="P59" i="15"/>
  <c r="G418" i="15"/>
  <c r="N261" i="15"/>
  <c r="O261" i="15" s="1"/>
  <c r="F618" i="15"/>
  <c r="M142" i="20"/>
  <c r="AB176" i="15"/>
  <c r="N185" i="15"/>
  <c r="O185" i="15" s="1"/>
  <c r="F542" i="15"/>
  <c r="H80" i="15"/>
  <c r="F206" i="15"/>
  <c r="G439" i="15"/>
  <c r="P80" i="15"/>
  <c r="AA372" i="15"/>
  <c r="AD372" i="15"/>
  <c r="H81" i="15"/>
  <c r="F207" i="15"/>
  <c r="P81" i="15"/>
  <c r="G440" i="15"/>
  <c r="N93" i="15"/>
  <c r="O93" i="15" s="1"/>
  <c r="G93" i="15"/>
  <c r="F219" i="15"/>
  <c r="N91" i="15"/>
  <c r="O91" i="15" s="1"/>
  <c r="F217" i="15"/>
  <c r="G91" i="15"/>
  <c r="N136" i="15"/>
  <c r="O136" i="15" s="1"/>
  <c r="G136" i="15"/>
  <c r="F262" i="15"/>
  <c r="S374" i="15"/>
  <c r="V374" i="15"/>
  <c r="V373" i="15"/>
  <c r="Z378" i="15"/>
  <c r="AD376" i="15"/>
  <c r="AH376" i="15" s="1"/>
  <c r="Z349" i="15"/>
  <c r="AA349" i="15" s="1"/>
  <c r="AD353" i="15"/>
  <c r="N115" i="15"/>
  <c r="O115" i="15" s="1"/>
  <c r="G215" i="15"/>
  <c r="H89" i="15"/>
  <c r="P89" i="15"/>
  <c r="G448" i="15"/>
  <c r="N84" i="15"/>
  <c r="O84" i="15" s="1"/>
  <c r="H135" i="15"/>
  <c r="G261" i="15"/>
  <c r="G494" i="15"/>
  <c r="P135" i="15"/>
  <c r="V345" i="15"/>
  <c r="S312" i="15"/>
  <c r="V312" i="15"/>
  <c r="H83" i="15"/>
  <c r="F209" i="15"/>
  <c r="G442" i="15"/>
  <c r="P83" i="15"/>
  <c r="V313" i="15"/>
  <c r="S379" i="15"/>
  <c r="V379" i="15"/>
  <c r="H58" i="15"/>
  <c r="G184" i="15"/>
  <c r="P58" i="15"/>
  <c r="G417" i="15"/>
  <c r="Z375" i="15"/>
  <c r="AL176" i="15"/>
  <c r="O143" i="20"/>
  <c r="O159" i="20" s="1"/>
  <c r="AK176" i="15"/>
  <c r="O144" i="20" s="1"/>
  <c r="O160" i="20" s="1"/>
  <c r="H86" i="15"/>
  <c r="F212" i="15"/>
  <c r="P86" i="15"/>
  <c r="G445" i="15"/>
  <c r="H79" i="15"/>
  <c r="F205" i="15"/>
  <c r="P79" i="15"/>
  <c r="G438" i="15"/>
  <c r="F541" i="15"/>
  <c r="W314" i="15"/>
  <c r="Z314" i="15"/>
  <c r="AD346" i="15"/>
  <c r="Z380" i="15"/>
  <c r="H85" i="15"/>
  <c r="F211" i="15"/>
  <c r="G444" i="15"/>
  <c r="P85" i="15"/>
  <c r="H82" i="15"/>
  <c r="F208" i="15"/>
  <c r="P82" i="15"/>
  <c r="G441" i="15"/>
  <c r="F572" i="15"/>
  <c r="N215" i="15"/>
  <c r="O215" i="15" s="1"/>
  <c r="H84" i="15"/>
  <c r="F210" i="15"/>
  <c r="G443" i="15"/>
  <c r="P84" i="15"/>
  <c r="N59" i="15"/>
  <c r="O59" i="15" s="1"/>
  <c r="V350" i="15"/>
  <c r="H78" i="15"/>
  <c r="F204" i="15"/>
  <c r="P78" i="15"/>
  <c r="G437" i="15"/>
  <c r="P176" i="15"/>
  <c r="J142" i="20"/>
  <c r="K143" i="20"/>
  <c r="K159" i="20" s="1"/>
  <c r="V176" i="15"/>
  <c r="U176" i="15"/>
  <c r="K144" i="20" s="1"/>
  <c r="K160" i="20" s="1"/>
  <c r="N87" i="15"/>
  <c r="O87" i="15" s="1"/>
  <c r="F88" i="15"/>
  <c r="I124" i="20" s="1"/>
  <c r="H114" i="15"/>
  <c r="G473" i="15"/>
  <c r="P114" i="15"/>
  <c r="H87" i="15"/>
  <c r="P87" i="15"/>
  <c r="G446" i="15"/>
  <c r="U77" i="19"/>
  <c r="W48" i="19"/>
  <c r="I54" i="19"/>
  <c r="W59" i="19"/>
  <c r="X59" i="19" s="1"/>
  <c r="T36" i="19"/>
  <c r="V36" i="19" s="1"/>
  <c r="U31" i="19"/>
  <c r="V118" i="19"/>
  <c r="V134" i="19"/>
  <c r="V117" i="19"/>
  <c r="V111" i="19"/>
  <c r="T136" i="19"/>
  <c r="V136" i="19" s="1"/>
  <c r="X121" i="19"/>
  <c r="Y121" i="19"/>
  <c r="I119" i="19"/>
  <c r="S119" i="19"/>
  <c r="U109" i="19"/>
  <c r="T109" i="19"/>
  <c r="V109" i="19" s="1"/>
  <c r="U113" i="19"/>
  <c r="T113" i="19"/>
  <c r="V113" i="19" s="1"/>
  <c r="I112" i="19"/>
  <c r="S112" i="19"/>
  <c r="V135" i="19"/>
  <c r="I120" i="19"/>
  <c r="S120" i="19"/>
  <c r="Z117" i="19"/>
  <c r="U131" i="19"/>
  <c r="V131" i="19" s="1"/>
  <c r="T115" i="19"/>
  <c r="U115" i="19"/>
  <c r="Y115" i="19" s="1"/>
  <c r="Z115" i="19" s="1"/>
  <c r="W109" i="19"/>
  <c r="J109" i="19"/>
  <c r="J113" i="19"/>
  <c r="W113" i="19"/>
  <c r="W111" i="19"/>
  <c r="J111" i="19"/>
  <c r="I74" i="19"/>
  <c r="S74" i="19"/>
  <c r="L77" i="19"/>
  <c r="AI77" i="19"/>
  <c r="V97" i="19"/>
  <c r="V90" i="19"/>
  <c r="I76" i="19"/>
  <c r="S76" i="19"/>
  <c r="V77" i="19"/>
  <c r="U72" i="19"/>
  <c r="V92" i="19"/>
  <c r="U91" i="19"/>
  <c r="T91" i="19"/>
  <c r="K100" i="19"/>
  <c r="L100" i="19" s="1"/>
  <c r="V101" i="19"/>
  <c r="Y94" i="19"/>
  <c r="I79" i="19"/>
  <c r="S79" i="19"/>
  <c r="S78" i="19"/>
  <c r="I78" i="19"/>
  <c r="I80" i="19"/>
  <c r="S80" i="19"/>
  <c r="AB91" i="19"/>
  <c r="W68" i="19"/>
  <c r="J68" i="19"/>
  <c r="V72" i="19"/>
  <c r="S70" i="19"/>
  <c r="I70" i="19"/>
  <c r="V100" i="19"/>
  <c r="V94" i="19"/>
  <c r="Y77" i="19"/>
  <c r="AC77" i="19" s="1"/>
  <c r="AD77" i="19" s="1"/>
  <c r="X77" i="19"/>
  <c r="Z77" i="19" s="1"/>
  <c r="J72" i="19"/>
  <c r="W72" i="19"/>
  <c r="K59" i="19"/>
  <c r="L59" i="19" s="1"/>
  <c r="AA59" i="19"/>
  <c r="U35" i="19"/>
  <c r="T35" i="19"/>
  <c r="V31" i="19"/>
  <c r="U50" i="19"/>
  <c r="V50" i="19" s="1"/>
  <c r="U29" i="19"/>
  <c r="T29" i="19"/>
  <c r="V27" i="19"/>
  <c r="W35" i="19"/>
  <c r="J35" i="19"/>
  <c r="W27" i="19"/>
  <c r="J27" i="19"/>
  <c r="I34" i="19"/>
  <c r="S34" i="19"/>
  <c r="I55" i="19"/>
  <c r="S55" i="19"/>
  <c r="W37" i="19"/>
  <c r="J37" i="19"/>
  <c r="W39" i="19"/>
  <c r="J39" i="19"/>
  <c r="J29" i="19"/>
  <c r="W29" i="19"/>
  <c r="U47" i="19"/>
  <c r="Y47" i="19" s="1"/>
  <c r="Z47" i="19" s="1"/>
  <c r="T37" i="19"/>
  <c r="U37" i="19"/>
  <c r="J31" i="19"/>
  <c r="W31" i="19"/>
  <c r="T39" i="19"/>
  <c r="U39" i="19"/>
  <c r="M112" i="21"/>
  <c r="I112" i="21"/>
  <c r="O111" i="21"/>
  <c r="H113" i="21"/>
  <c r="P46" i="21"/>
  <c r="Q46" i="21" s="1"/>
  <c r="E112" i="21"/>
  <c r="D112" i="21"/>
  <c r="M113" i="21"/>
  <c r="M101" i="21"/>
  <c r="O35" i="21"/>
  <c r="J112" i="21"/>
  <c r="O100" i="21"/>
  <c r="H112" i="21"/>
  <c r="O46" i="21"/>
  <c r="S200" i="20" s="1"/>
  <c r="K200" i="20"/>
  <c r="G47" i="21"/>
  <c r="G101" i="21"/>
  <c r="J101" i="21"/>
  <c r="J47" i="21"/>
  <c r="L112" i="21"/>
  <c r="G112" i="21"/>
  <c r="I203" i="20"/>
  <c r="I138" i="19"/>
  <c r="S138" i="19"/>
  <c r="T133" i="19"/>
  <c r="U133" i="19"/>
  <c r="K136" i="19"/>
  <c r="AA136" i="19"/>
  <c r="T132" i="19"/>
  <c r="U132" i="19"/>
  <c r="Y132" i="19" s="1"/>
  <c r="X137" i="19"/>
  <c r="W139" i="19"/>
  <c r="J139" i="19"/>
  <c r="J134" i="19"/>
  <c r="W134" i="19"/>
  <c r="W130" i="19"/>
  <c r="Y130" i="19" s="1"/>
  <c r="W142" i="19"/>
  <c r="X142" i="19" s="1"/>
  <c r="S140" i="19"/>
  <c r="I140" i="19"/>
  <c r="J131" i="19"/>
  <c r="W131" i="19"/>
  <c r="AA137" i="19"/>
  <c r="K137" i="19"/>
  <c r="T139" i="19"/>
  <c r="U139" i="19"/>
  <c r="S141" i="19"/>
  <c r="I141" i="19"/>
  <c r="J135" i="19"/>
  <c r="W135" i="19"/>
  <c r="T137" i="19"/>
  <c r="U137" i="19"/>
  <c r="Y137" i="19" s="1"/>
  <c r="J133" i="19"/>
  <c r="W133" i="19"/>
  <c r="T142" i="19"/>
  <c r="U142" i="19"/>
  <c r="Y136" i="19"/>
  <c r="X136" i="19"/>
  <c r="Z136" i="19" s="1"/>
  <c r="T129" i="19"/>
  <c r="U129" i="19"/>
  <c r="J129" i="19"/>
  <c r="W129" i="19"/>
  <c r="AI89" i="19"/>
  <c r="L89" i="19"/>
  <c r="U100" i="19"/>
  <c r="X94" i="19"/>
  <c r="Z94" i="19" s="1"/>
  <c r="X91" i="19"/>
  <c r="Y91" i="19"/>
  <c r="AC91" i="19" s="1"/>
  <c r="S96" i="19"/>
  <c r="I96" i="19"/>
  <c r="X100" i="19"/>
  <c r="Y100" i="19"/>
  <c r="AC100" i="19" s="1"/>
  <c r="T98" i="19"/>
  <c r="U98" i="19"/>
  <c r="X92" i="19"/>
  <c r="Y92" i="19"/>
  <c r="AC92" i="19" s="1"/>
  <c r="J94" i="19"/>
  <c r="AB101" i="19"/>
  <c r="W101" i="19"/>
  <c r="X101" i="19" s="1"/>
  <c r="J97" i="19"/>
  <c r="W97" i="19"/>
  <c r="W90" i="19"/>
  <c r="J90" i="19"/>
  <c r="W98" i="19"/>
  <c r="J98" i="19"/>
  <c r="I88" i="19"/>
  <c r="S88" i="19"/>
  <c r="W49" i="19"/>
  <c r="J49" i="19"/>
  <c r="U49" i="19"/>
  <c r="T49" i="19"/>
  <c r="V49" i="19" s="1"/>
  <c r="W57" i="19"/>
  <c r="J57" i="19"/>
  <c r="T57" i="19"/>
  <c r="U57" i="19"/>
  <c r="T59" i="19"/>
  <c r="V59" i="19" s="1"/>
  <c r="T53" i="19"/>
  <c r="U53" i="19"/>
  <c r="Y53" i="19" s="1"/>
  <c r="AC53" i="19" s="1"/>
  <c r="U48" i="19"/>
  <c r="Y48" i="19" s="1"/>
  <c r="T48" i="19"/>
  <c r="U52" i="19"/>
  <c r="V52" i="19" s="1"/>
  <c r="I51" i="19"/>
  <c r="S51" i="19"/>
  <c r="L47" i="19"/>
  <c r="AI47" i="19"/>
  <c r="AA348" i="15"/>
  <c r="AD348" i="15"/>
  <c r="AA347" i="15"/>
  <c r="AD347" i="15"/>
  <c r="AE346" i="15"/>
  <c r="AH346" i="15"/>
  <c r="AE352" i="15"/>
  <c r="AH352" i="15"/>
  <c r="AE353" i="15"/>
  <c r="AH353" i="15"/>
  <c r="AH351" i="15"/>
  <c r="AA378" i="15"/>
  <c r="AD378" i="15"/>
  <c r="AA377" i="15"/>
  <c r="AD377" i="15"/>
  <c r="V399" i="15"/>
  <c r="S400" i="15"/>
  <c r="V400" i="15"/>
  <c r="AA240" i="15"/>
  <c r="AD240" i="15"/>
  <c r="I160" i="20"/>
  <c r="I146" i="20"/>
  <c r="F112" i="21"/>
  <c r="O79" i="21"/>
  <c r="O112" i="21" s="1"/>
  <c r="K80" i="21"/>
  <c r="K113" i="21" s="1"/>
  <c r="K101" i="21"/>
  <c r="P80" i="21"/>
  <c r="Q80" i="21" s="1"/>
  <c r="N113" i="21"/>
  <c r="P79" i="21"/>
  <c r="Q79" i="21" s="1"/>
  <c r="N112" i="21"/>
  <c r="F101" i="21"/>
  <c r="O68" i="21"/>
  <c r="O101" i="21" s="1"/>
  <c r="F80" i="21"/>
  <c r="I101" i="21"/>
  <c r="I80" i="21"/>
  <c r="I113" i="21" s="1"/>
  <c r="S99" i="20"/>
  <c r="J97" i="20"/>
  <c r="J185" i="20"/>
  <c r="I185" i="20"/>
  <c r="I97" i="20"/>
  <c r="O185" i="20"/>
  <c r="O97" i="20"/>
  <c r="L97" i="20"/>
  <c r="L185" i="20"/>
  <c r="M185" i="20"/>
  <c r="M97" i="20"/>
  <c r="K130" i="19"/>
  <c r="AA130" i="19"/>
  <c r="K142" i="19"/>
  <c r="AA142" i="19"/>
  <c r="AA132" i="19"/>
  <c r="K132" i="19"/>
  <c r="X132" i="19"/>
  <c r="Y118" i="19"/>
  <c r="X118" i="19"/>
  <c r="Z118" i="19" s="1"/>
  <c r="AI114" i="19"/>
  <c r="L114" i="19"/>
  <c r="AB117" i="19"/>
  <c r="AC117" i="19"/>
  <c r="T110" i="19"/>
  <c r="U110" i="19"/>
  <c r="AA118" i="19"/>
  <c r="K118" i="19"/>
  <c r="J116" i="19"/>
  <c r="W116" i="19"/>
  <c r="K115" i="19"/>
  <c r="AA115" i="19"/>
  <c r="T114" i="19"/>
  <c r="U114" i="19"/>
  <c r="Y114" i="19" s="1"/>
  <c r="AC114" i="19" s="1"/>
  <c r="AD114" i="19" s="1"/>
  <c r="L117" i="19"/>
  <c r="AI117" i="19"/>
  <c r="J110" i="19"/>
  <c r="W110" i="19"/>
  <c r="U116" i="19"/>
  <c r="T116" i="19"/>
  <c r="V116" i="19" s="1"/>
  <c r="J122" i="19"/>
  <c r="W122" i="19"/>
  <c r="AB121" i="19"/>
  <c r="AC121" i="19"/>
  <c r="U122" i="19"/>
  <c r="T122" i="19"/>
  <c r="V122" i="19" s="1"/>
  <c r="L121" i="19"/>
  <c r="AI121" i="19"/>
  <c r="AI91" i="19"/>
  <c r="L91" i="19"/>
  <c r="AI101" i="19"/>
  <c r="L101" i="19"/>
  <c r="U93" i="19"/>
  <c r="Y93" i="19" s="1"/>
  <c r="T93" i="19"/>
  <c r="AB92" i="19"/>
  <c r="K95" i="19"/>
  <c r="AA95" i="19"/>
  <c r="Y99" i="19"/>
  <c r="X99" i="19"/>
  <c r="Z99" i="19" s="1"/>
  <c r="X93" i="19"/>
  <c r="AA99" i="19"/>
  <c r="K99" i="19"/>
  <c r="AA93" i="19"/>
  <c r="K93" i="19"/>
  <c r="AB100" i="19"/>
  <c r="X95" i="19"/>
  <c r="K94" i="19"/>
  <c r="AA94" i="19"/>
  <c r="T95" i="19"/>
  <c r="V95" i="19" s="1"/>
  <c r="U95" i="19"/>
  <c r="Y95" i="19" s="1"/>
  <c r="L92" i="19"/>
  <c r="AI92" i="19"/>
  <c r="J75" i="19"/>
  <c r="W75" i="19"/>
  <c r="X71" i="19"/>
  <c r="Y71" i="19"/>
  <c r="J81" i="19"/>
  <c r="W81" i="19"/>
  <c r="AJ73" i="19"/>
  <c r="J69" i="19"/>
  <c r="W69" i="19"/>
  <c r="X73" i="19"/>
  <c r="U75" i="19"/>
  <c r="T75" i="19"/>
  <c r="T69" i="19"/>
  <c r="U69" i="19"/>
  <c r="K71" i="19"/>
  <c r="AA71" i="19"/>
  <c r="T73" i="19"/>
  <c r="U73" i="19"/>
  <c r="Y73" i="19" s="1"/>
  <c r="AC73" i="19" s="1"/>
  <c r="T81" i="19"/>
  <c r="U81" i="19"/>
  <c r="M73" i="19"/>
  <c r="AQ73" i="19" s="1"/>
  <c r="AM73" i="19"/>
  <c r="T58" i="19"/>
  <c r="U58" i="19"/>
  <c r="J54" i="19"/>
  <c r="W54" i="19"/>
  <c r="J58" i="19"/>
  <c r="W58" i="19"/>
  <c r="AA48" i="19"/>
  <c r="K48" i="19"/>
  <c r="T54" i="19"/>
  <c r="U54" i="19"/>
  <c r="J50" i="19"/>
  <c r="W50" i="19"/>
  <c r="X53" i="19"/>
  <c r="AB53" i="19"/>
  <c r="AB59" i="19"/>
  <c r="T60" i="19"/>
  <c r="U60" i="19"/>
  <c r="J52" i="19"/>
  <c r="W52" i="19"/>
  <c r="X48" i="19"/>
  <c r="AB47" i="19"/>
  <c r="AC47" i="19"/>
  <c r="T56" i="19"/>
  <c r="V56" i="19" s="1"/>
  <c r="J56" i="19"/>
  <c r="W56" i="19"/>
  <c r="L53" i="19"/>
  <c r="AI53" i="19"/>
  <c r="J60" i="19"/>
  <c r="W60" i="19"/>
  <c r="J30" i="19"/>
  <c r="W30" i="19"/>
  <c r="Y40" i="19"/>
  <c r="X40" i="19"/>
  <c r="U40" i="19"/>
  <c r="T40" i="19"/>
  <c r="V40" i="19" s="1"/>
  <c r="Y33" i="19"/>
  <c r="AC33" i="19" s="1"/>
  <c r="X33" i="19"/>
  <c r="AA40" i="19"/>
  <c r="K40" i="19"/>
  <c r="U28" i="19"/>
  <c r="T28" i="19"/>
  <c r="U38" i="19"/>
  <c r="T38" i="19"/>
  <c r="X32" i="19"/>
  <c r="U32" i="19"/>
  <c r="Y32" i="19" s="1"/>
  <c r="T32" i="19"/>
  <c r="V32" i="19" s="1"/>
  <c r="L33" i="19"/>
  <c r="AI33" i="19"/>
  <c r="J28" i="19"/>
  <c r="W28" i="19"/>
  <c r="T30" i="19"/>
  <c r="U30" i="19"/>
  <c r="AB33" i="19"/>
  <c r="J36" i="19"/>
  <c r="W36" i="19"/>
  <c r="J38" i="19"/>
  <c r="W38" i="19"/>
  <c r="AA32" i="19"/>
  <c r="K32" i="19"/>
  <c r="K162" i="3"/>
  <c r="H9" i="14" s="1"/>
  <c r="H13" i="14" s="1"/>
  <c r="F20" i="14" s="1"/>
  <c r="F22" i="14" s="1"/>
  <c r="H22" i="14" s="1"/>
  <c r="H35" i="14" s="1"/>
  <c r="I136" i="20"/>
  <c r="L37" i="4"/>
  <c r="G37" i="4" s="1"/>
  <c r="F90" i="15"/>
  <c r="G35" i="4"/>
  <c r="E262" i="15"/>
  <c r="E155" i="15"/>
  <c r="N155" i="15" s="1"/>
  <c r="H130" i="20"/>
  <c r="E260" i="15"/>
  <c r="E184" i="15"/>
  <c r="N184" i="15" s="1"/>
  <c r="O184" i="15" s="1"/>
  <c r="E88" i="15"/>
  <c r="W115" i="15" l="1"/>
  <c r="Z115" i="15"/>
  <c r="I78" i="15"/>
  <c r="G204" i="15"/>
  <c r="T78" i="15"/>
  <c r="H437" i="15"/>
  <c r="I82" i="15"/>
  <c r="G208" i="15"/>
  <c r="H441" i="15"/>
  <c r="T82" i="15"/>
  <c r="Q86" i="15"/>
  <c r="R86" i="15"/>
  <c r="S86" i="15" s="1"/>
  <c r="Q58" i="15"/>
  <c r="R58" i="15"/>
  <c r="S58" i="15" s="1"/>
  <c r="N209" i="15"/>
  <c r="O209" i="15" s="1"/>
  <c r="F566" i="15"/>
  <c r="I135" i="15"/>
  <c r="H261" i="15"/>
  <c r="T135" i="15"/>
  <c r="H494" i="15"/>
  <c r="R81" i="15"/>
  <c r="S81" i="15" s="1"/>
  <c r="Q81" i="15"/>
  <c r="I80" i="15"/>
  <c r="G206" i="15"/>
  <c r="T80" i="15"/>
  <c r="H439" i="15"/>
  <c r="Q59" i="15"/>
  <c r="R59" i="15"/>
  <c r="S59" i="15" s="1"/>
  <c r="AD349" i="15"/>
  <c r="K145" i="20"/>
  <c r="K228" i="20" s="1"/>
  <c r="W176" i="15"/>
  <c r="K146" i="20" s="1"/>
  <c r="W350" i="15"/>
  <c r="Z350" i="15"/>
  <c r="AM176" i="15"/>
  <c r="O146" i="20" s="1"/>
  <c r="O145" i="20"/>
  <c r="O228" i="20" s="1"/>
  <c r="W313" i="15"/>
  <c r="Z313" i="15"/>
  <c r="R135" i="15"/>
  <c r="S135" i="15" s="1"/>
  <c r="Q135" i="15"/>
  <c r="P215" i="15"/>
  <c r="G572" i="15"/>
  <c r="H93" i="15"/>
  <c r="G219" i="15"/>
  <c r="G452" i="15"/>
  <c r="P93" i="15"/>
  <c r="Q80" i="15"/>
  <c r="R80" i="15"/>
  <c r="S80" i="15" s="1"/>
  <c r="F638" i="15"/>
  <c r="F281" i="15" s="1"/>
  <c r="N281" i="15" s="1"/>
  <c r="O281" i="15" s="1"/>
  <c r="G90" i="15"/>
  <c r="F216" i="15"/>
  <c r="AE376" i="15"/>
  <c r="F561" i="15"/>
  <c r="N204" i="15"/>
  <c r="O204" i="15" s="1"/>
  <c r="R84" i="15"/>
  <c r="S84" i="15" s="1"/>
  <c r="Q84" i="15"/>
  <c r="F565" i="15"/>
  <c r="N208" i="15"/>
  <c r="O208" i="15" s="1"/>
  <c r="N211" i="15"/>
  <c r="O211" i="15" s="1"/>
  <c r="F568" i="15"/>
  <c r="AA314" i="15"/>
  <c r="AD314" i="15"/>
  <c r="W379" i="15"/>
  <c r="Z379" i="15"/>
  <c r="P261" i="15"/>
  <c r="G618" i="15"/>
  <c r="Q89" i="15"/>
  <c r="R89" i="15"/>
  <c r="S89" i="15" s="1"/>
  <c r="W373" i="15"/>
  <c r="Z373" i="15"/>
  <c r="H136" i="15"/>
  <c r="G262" i="15"/>
  <c r="G495" i="15"/>
  <c r="P136" i="15"/>
  <c r="AE372" i="15"/>
  <c r="AH372" i="15"/>
  <c r="F563" i="15"/>
  <c r="N206" i="15"/>
  <c r="O206" i="15" s="1"/>
  <c r="AC176" i="15"/>
  <c r="M144" i="20" s="1"/>
  <c r="M160" i="20" s="1"/>
  <c r="M143" i="20"/>
  <c r="M159" i="20" s="1"/>
  <c r="AD176" i="15"/>
  <c r="J143" i="20"/>
  <c r="J159" i="20" s="1"/>
  <c r="Q176" i="15"/>
  <c r="J144" i="20" s="1"/>
  <c r="J160" i="20" s="1"/>
  <c r="R176" i="15"/>
  <c r="I85" i="15"/>
  <c r="G211" i="15"/>
  <c r="T85" i="15"/>
  <c r="H444" i="15"/>
  <c r="R79" i="15"/>
  <c r="S79" i="15" s="1"/>
  <c r="Q79" i="15"/>
  <c r="W345" i="15"/>
  <c r="Z345" i="15"/>
  <c r="I89" i="15"/>
  <c r="H215" i="15"/>
  <c r="T89" i="15"/>
  <c r="H448" i="15"/>
  <c r="W374" i="15"/>
  <c r="Z374" i="15"/>
  <c r="N219" i="15"/>
  <c r="O219" i="15" s="1"/>
  <c r="F576" i="15"/>
  <c r="G447" i="15"/>
  <c r="G88" i="15" s="1"/>
  <c r="P88" i="15" s="1"/>
  <c r="F567" i="15"/>
  <c r="N210" i="15"/>
  <c r="O210" i="15" s="1"/>
  <c r="Q85" i="15"/>
  <c r="R85" i="15"/>
  <c r="S85" i="15" s="1"/>
  <c r="AA380" i="15"/>
  <c r="AD380" i="15"/>
  <c r="F562" i="15"/>
  <c r="N205" i="15"/>
  <c r="O205" i="15" s="1"/>
  <c r="N212" i="15"/>
  <c r="O212" i="15" s="1"/>
  <c r="F569" i="15"/>
  <c r="G541" i="15"/>
  <c r="P184" i="15"/>
  <c r="I83" i="15"/>
  <c r="G209" i="15"/>
  <c r="T83" i="15"/>
  <c r="H442" i="15"/>
  <c r="G217" i="15"/>
  <c r="H91" i="15"/>
  <c r="P91" i="15"/>
  <c r="G450" i="15"/>
  <c r="N207" i="15"/>
  <c r="O207" i="15" s="1"/>
  <c r="F564" i="15"/>
  <c r="I59" i="15"/>
  <c r="H185" i="15"/>
  <c r="T59" i="15"/>
  <c r="H418" i="15"/>
  <c r="Q78" i="15"/>
  <c r="R78" i="15"/>
  <c r="S78" i="15" s="1"/>
  <c r="I84" i="15"/>
  <c r="G210" i="15"/>
  <c r="T84" i="15"/>
  <c r="H443" i="15"/>
  <c r="Q82" i="15"/>
  <c r="R82" i="15"/>
  <c r="S82" i="15" s="1"/>
  <c r="F571" i="15"/>
  <c r="F214" i="15" s="1"/>
  <c r="I79" i="15"/>
  <c r="G205" i="15"/>
  <c r="H438" i="15"/>
  <c r="T79" i="15"/>
  <c r="I86" i="15"/>
  <c r="G212" i="15"/>
  <c r="H445" i="15"/>
  <c r="T86" i="15"/>
  <c r="AA375" i="15"/>
  <c r="AD375" i="15"/>
  <c r="H184" i="15"/>
  <c r="I58" i="15"/>
  <c r="T58" i="15"/>
  <c r="H417" i="15"/>
  <c r="Q83" i="15"/>
  <c r="R83" i="15"/>
  <c r="S83" i="15" s="1"/>
  <c r="W312" i="15"/>
  <c r="Z312" i="15"/>
  <c r="G514" i="15"/>
  <c r="G155" i="15" s="1"/>
  <c r="N262" i="15"/>
  <c r="O262" i="15" s="1"/>
  <c r="F619" i="15"/>
  <c r="N217" i="15"/>
  <c r="O217" i="15" s="1"/>
  <c r="F574" i="15"/>
  <c r="I81" i="15"/>
  <c r="G207" i="15"/>
  <c r="T81" i="15"/>
  <c r="H440" i="15"/>
  <c r="G542" i="15"/>
  <c r="P185" i="15"/>
  <c r="N88" i="15"/>
  <c r="O88" i="15" s="1"/>
  <c r="I126" i="20" s="1"/>
  <c r="I114" i="15"/>
  <c r="T114" i="15"/>
  <c r="H473" i="15"/>
  <c r="Q114" i="15"/>
  <c r="R114" i="15"/>
  <c r="S114" i="15" s="1"/>
  <c r="J124" i="20"/>
  <c r="Q87" i="15"/>
  <c r="R87" i="15"/>
  <c r="S87" i="15" s="1"/>
  <c r="I87" i="15"/>
  <c r="T87" i="15"/>
  <c r="H446" i="15"/>
  <c r="V73" i="19"/>
  <c r="Z73" i="19"/>
  <c r="AI59" i="19"/>
  <c r="Y59" i="19"/>
  <c r="Y113" i="19"/>
  <c r="X113" i="19"/>
  <c r="Z113" i="19" s="1"/>
  <c r="T120" i="19"/>
  <c r="U120" i="19"/>
  <c r="U112" i="19"/>
  <c r="T112" i="19"/>
  <c r="V112" i="19" s="1"/>
  <c r="AD117" i="19"/>
  <c r="V132" i="19"/>
  <c r="K113" i="19"/>
  <c r="AA113" i="19"/>
  <c r="J120" i="19"/>
  <c r="W120" i="19"/>
  <c r="J112" i="19"/>
  <c r="W112" i="19"/>
  <c r="X130" i="19"/>
  <c r="Z130" i="19" s="1"/>
  <c r="Z137" i="19"/>
  <c r="K111" i="19"/>
  <c r="AA111" i="19"/>
  <c r="K109" i="19"/>
  <c r="AA109" i="19"/>
  <c r="U119" i="19"/>
  <c r="T119" i="19"/>
  <c r="V119" i="19" s="1"/>
  <c r="Z142" i="19"/>
  <c r="AD121" i="19"/>
  <c r="V114" i="19"/>
  <c r="V139" i="19"/>
  <c r="V133" i="19"/>
  <c r="V115" i="19"/>
  <c r="Z121" i="19"/>
  <c r="V110" i="19"/>
  <c r="Z132" i="19"/>
  <c r="V129" i="19"/>
  <c r="V142" i="19"/>
  <c r="V137" i="19"/>
  <c r="Y111" i="19"/>
  <c r="X111" i="19"/>
  <c r="Z111" i="19" s="1"/>
  <c r="Y109" i="19"/>
  <c r="X109" i="19"/>
  <c r="Z109" i="19" s="1"/>
  <c r="Z114" i="19"/>
  <c r="J119" i="19"/>
  <c r="W119" i="19"/>
  <c r="AD73" i="19"/>
  <c r="AK73" i="19"/>
  <c r="AL73" i="19" s="1"/>
  <c r="Z95" i="19"/>
  <c r="K68" i="19"/>
  <c r="AA68" i="19"/>
  <c r="W76" i="19"/>
  <c r="J76" i="19"/>
  <c r="V81" i="19"/>
  <c r="V75" i="19"/>
  <c r="V93" i="19"/>
  <c r="V98" i="19"/>
  <c r="X72" i="19"/>
  <c r="Y72" i="19"/>
  <c r="AD91" i="19"/>
  <c r="T78" i="19"/>
  <c r="U78" i="19"/>
  <c r="U76" i="19"/>
  <c r="T76" i="19"/>
  <c r="V76" i="19" s="1"/>
  <c r="AJ77" i="19"/>
  <c r="AK77" i="19"/>
  <c r="AL77" i="19" s="1"/>
  <c r="K72" i="19"/>
  <c r="AA72" i="19"/>
  <c r="U79" i="19"/>
  <c r="T79" i="19"/>
  <c r="AD100" i="19"/>
  <c r="Y101" i="19"/>
  <c r="AC101" i="19" s="1"/>
  <c r="AD101" i="19" s="1"/>
  <c r="AI100" i="19"/>
  <c r="AD92" i="19"/>
  <c r="Z92" i="19"/>
  <c r="Z100" i="19"/>
  <c r="Z91" i="19"/>
  <c r="W70" i="19"/>
  <c r="J70" i="19"/>
  <c r="X68" i="19"/>
  <c r="Y68" i="19"/>
  <c r="J80" i="19"/>
  <c r="W80" i="19"/>
  <c r="J79" i="19"/>
  <c r="W79" i="19"/>
  <c r="T74" i="19"/>
  <c r="U74" i="19"/>
  <c r="Z93" i="19"/>
  <c r="U80" i="19"/>
  <c r="T80" i="19"/>
  <c r="M77" i="19"/>
  <c r="AQ77" i="19" s="1"/>
  <c r="AM77" i="19"/>
  <c r="V69" i="19"/>
  <c r="Z71" i="19"/>
  <c r="T70" i="19"/>
  <c r="U70" i="19"/>
  <c r="W78" i="19"/>
  <c r="J78" i="19"/>
  <c r="V91" i="19"/>
  <c r="W74" i="19"/>
  <c r="J74" i="19"/>
  <c r="Y29" i="19"/>
  <c r="X29" i="19"/>
  <c r="Z29" i="19" s="1"/>
  <c r="T34" i="19"/>
  <c r="U34" i="19"/>
  <c r="AA27" i="19"/>
  <c r="K27" i="19"/>
  <c r="AA35" i="19"/>
  <c r="K35" i="19"/>
  <c r="AD47" i="19"/>
  <c r="V60" i="19"/>
  <c r="AA29" i="19"/>
  <c r="K29" i="19"/>
  <c r="X37" i="19"/>
  <c r="Y37" i="19"/>
  <c r="J34" i="19"/>
  <c r="W34" i="19"/>
  <c r="X27" i="19"/>
  <c r="Y27" i="19"/>
  <c r="Y35" i="19"/>
  <c r="X35" i="19"/>
  <c r="Z35" i="19" s="1"/>
  <c r="AD33" i="19"/>
  <c r="K31" i="19"/>
  <c r="AA31" i="19"/>
  <c r="AA37" i="19"/>
  <c r="K37" i="19"/>
  <c r="V53" i="19"/>
  <c r="V57" i="19"/>
  <c r="V39" i="19"/>
  <c r="V37" i="19"/>
  <c r="K39" i="19"/>
  <c r="AA39" i="19"/>
  <c r="U55" i="19"/>
  <c r="T55" i="19"/>
  <c r="V47" i="19"/>
  <c r="AD53" i="19"/>
  <c r="V30" i="19"/>
  <c r="Z32" i="19"/>
  <c r="V38" i="19"/>
  <c r="V28" i="19"/>
  <c r="Z33" i="19"/>
  <c r="Z40" i="19"/>
  <c r="Z48" i="19"/>
  <c r="Z53" i="19"/>
  <c r="V54" i="19"/>
  <c r="V58" i="19"/>
  <c r="V48" i="19"/>
  <c r="Y31" i="19"/>
  <c r="X31" i="19"/>
  <c r="X39" i="19"/>
  <c r="Y39" i="19"/>
  <c r="J55" i="19"/>
  <c r="W55" i="19"/>
  <c r="V29" i="19"/>
  <c r="V35" i="19"/>
  <c r="O47" i="21"/>
  <c r="S203" i="20" s="1"/>
  <c r="N203" i="20"/>
  <c r="J113" i="21"/>
  <c r="K203" i="20"/>
  <c r="G113" i="21"/>
  <c r="Y133" i="19"/>
  <c r="X133" i="19"/>
  <c r="Z133" i="19" s="1"/>
  <c r="Y135" i="19"/>
  <c r="X135" i="19"/>
  <c r="Z135" i="19" s="1"/>
  <c r="Y131" i="19"/>
  <c r="X131" i="19"/>
  <c r="Z131" i="19" s="1"/>
  <c r="AA139" i="19"/>
  <c r="K139" i="19"/>
  <c r="AA133" i="19"/>
  <c r="K133" i="19"/>
  <c r="AA135" i="19"/>
  <c r="K135" i="19"/>
  <c r="AA131" i="19"/>
  <c r="K131" i="19"/>
  <c r="X139" i="19"/>
  <c r="Y139" i="19"/>
  <c r="Y142" i="19"/>
  <c r="J141" i="19"/>
  <c r="W141" i="19"/>
  <c r="L137" i="19"/>
  <c r="AI137" i="19"/>
  <c r="J140" i="19"/>
  <c r="W140" i="19"/>
  <c r="X134" i="19"/>
  <c r="Z134" i="19" s="1"/>
  <c r="Y134" i="19"/>
  <c r="AC136" i="19"/>
  <c r="AB136" i="19"/>
  <c r="AD136" i="19" s="1"/>
  <c r="U138" i="19"/>
  <c r="T138" i="19"/>
  <c r="U141" i="19"/>
  <c r="T141" i="19"/>
  <c r="V141" i="19" s="1"/>
  <c r="AB137" i="19"/>
  <c r="AD137" i="19" s="1"/>
  <c r="AC137" i="19"/>
  <c r="T140" i="19"/>
  <c r="U140" i="19"/>
  <c r="K134" i="19"/>
  <c r="AA134" i="19"/>
  <c r="L136" i="19"/>
  <c r="AI136" i="19"/>
  <c r="J138" i="19"/>
  <c r="W138" i="19"/>
  <c r="AA129" i="19"/>
  <c r="K129" i="19"/>
  <c r="Y129" i="19"/>
  <c r="X129" i="19"/>
  <c r="K98" i="19"/>
  <c r="AA98" i="19"/>
  <c r="J96" i="19"/>
  <c r="W96" i="19"/>
  <c r="K90" i="19"/>
  <c r="AA90" i="19"/>
  <c r="M89" i="19"/>
  <c r="AQ89" i="19" s="1"/>
  <c r="AM89" i="19"/>
  <c r="Y97" i="19"/>
  <c r="X97" i="19"/>
  <c r="Y98" i="19"/>
  <c r="X98" i="19"/>
  <c r="AA97" i="19"/>
  <c r="K97" i="19"/>
  <c r="U96" i="19"/>
  <c r="T96" i="19"/>
  <c r="Y90" i="19"/>
  <c r="X90" i="19"/>
  <c r="AK89" i="19"/>
  <c r="AL89" i="19" s="1"/>
  <c r="AJ89" i="19"/>
  <c r="U88" i="19"/>
  <c r="T88" i="19"/>
  <c r="W88" i="19"/>
  <c r="J88" i="19"/>
  <c r="J51" i="19"/>
  <c r="W51" i="19"/>
  <c r="AA57" i="19"/>
  <c r="K57" i="19"/>
  <c r="AA49" i="19"/>
  <c r="K49" i="19"/>
  <c r="T51" i="19"/>
  <c r="U51" i="19"/>
  <c r="X57" i="19"/>
  <c r="Z57" i="19" s="1"/>
  <c r="Y57" i="19"/>
  <c r="X49" i="19"/>
  <c r="Y49" i="19"/>
  <c r="AJ47" i="19"/>
  <c r="AK47" i="19"/>
  <c r="AL47" i="19" s="1"/>
  <c r="AM47" i="19"/>
  <c r="M47" i="19"/>
  <c r="AQ47" i="19" s="1"/>
  <c r="AE347" i="15"/>
  <c r="AH347" i="15"/>
  <c r="AI353" i="15"/>
  <c r="AL353" i="15"/>
  <c r="AM353" i="15" s="1"/>
  <c r="AI346" i="15"/>
  <c r="AL346" i="15"/>
  <c r="AM346" i="15" s="1"/>
  <c r="AE348" i="15"/>
  <c r="AH348" i="15"/>
  <c r="AE349" i="15"/>
  <c r="AH349" i="15"/>
  <c r="AI352" i="15"/>
  <c r="AL352" i="15"/>
  <c r="AM352" i="15" s="1"/>
  <c r="AI351" i="15"/>
  <c r="AL351" i="15"/>
  <c r="AM351" i="15" s="1"/>
  <c r="AI376" i="15"/>
  <c r="AL376" i="15"/>
  <c r="AM376" i="15" s="1"/>
  <c r="AE378" i="15"/>
  <c r="AH378" i="15"/>
  <c r="AE377" i="15"/>
  <c r="AH377" i="15"/>
  <c r="W400" i="15"/>
  <c r="Z400" i="15"/>
  <c r="W399" i="15"/>
  <c r="Z399" i="15"/>
  <c r="AE240" i="15"/>
  <c r="AH240" i="15"/>
  <c r="M70" i="13"/>
  <c r="O70" i="13"/>
  <c r="J70" i="13"/>
  <c r="D56" i="13" s="1"/>
  <c r="K44" i="13"/>
  <c r="F113" i="21"/>
  <c r="O80" i="21"/>
  <c r="O113" i="21" s="1"/>
  <c r="AI132" i="19"/>
  <c r="L132" i="19"/>
  <c r="AB130" i="19"/>
  <c r="AD130" i="19" s="1"/>
  <c r="AC130" i="19"/>
  <c r="AB142" i="19"/>
  <c r="AC142" i="19"/>
  <c r="AB132" i="19"/>
  <c r="AD132" i="19" s="1"/>
  <c r="AC132" i="19"/>
  <c r="AI142" i="19"/>
  <c r="L142" i="19"/>
  <c r="L130" i="19"/>
  <c r="AI130" i="19"/>
  <c r="AJ117" i="19"/>
  <c r="AK117" i="19"/>
  <c r="AL117" i="19" s="1"/>
  <c r="X116" i="19"/>
  <c r="Z116" i="19" s="1"/>
  <c r="Y116" i="19"/>
  <c r="L115" i="19"/>
  <c r="AI115" i="19"/>
  <c r="AK121" i="19"/>
  <c r="AL121" i="19" s="1"/>
  <c r="AJ121" i="19"/>
  <c r="Y122" i="19"/>
  <c r="X122" i="19"/>
  <c r="Z122" i="19" s="1"/>
  <c r="X110" i="19"/>
  <c r="Z110" i="19" s="1"/>
  <c r="Y110" i="19"/>
  <c r="AI118" i="19"/>
  <c r="L118" i="19"/>
  <c r="AB115" i="19"/>
  <c r="AD115" i="19" s="1"/>
  <c r="AC115" i="19"/>
  <c r="M114" i="19"/>
  <c r="AQ114" i="19" s="1"/>
  <c r="AM114" i="19"/>
  <c r="AM117" i="19"/>
  <c r="M117" i="19"/>
  <c r="AQ117" i="19" s="1"/>
  <c r="AA116" i="19"/>
  <c r="K116" i="19"/>
  <c r="AJ114" i="19"/>
  <c r="AK114" i="19"/>
  <c r="AL114" i="19" s="1"/>
  <c r="M121" i="19"/>
  <c r="AQ121" i="19" s="1"/>
  <c r="AM121" i="19"/>
  <c r="AA122" i="19"/>
  <c r="K122" i="19"/>
  <c r="AA110" i="19"/>
  <c r="K110" i="19"/>
  <c r="AC118" i="19"/>
  <c r="AB118" i="19"/>
  <c r="M91" i="19"/>
  <c r="AQ91" i="19" s="1"/>
  <c r="AM91" i="19"/>
  <c r="AJ91" i="19"/>
  <c r="AK91" i="19"/>
  <c r="AL91" i="19" s="1"/>
  <c r="AK92" i="19"/>
  <c r="AL92" i="19" s="1"/>
  <c r="AJ92" i="19"/>
  <c r="AC94" i="19"/>
  <c r="AB94" i="19"/>
  <c r="AD94" i="19" s="1"/>
  <c r="L93" i="19"/>
  <c r="AI93" i="19"/>
  <c r="AI99" i="19"/>
  <c r="L99" i="19"/>
  <c r="AK100" i="19"/>
  <c r="AL100" i="19" s="1"/>
  <c r="AJ100" i="19"/>
  <c r="AC95" i="19"/>
  <c r="AB95" i="19"/>
  <c r="M101" i="19"/>
  <c r="AQ101" i="19" s="1"/>
  <c r="AM101" i="19"/>
  <c r="AK101" i="19"/>
  <c r="AL101" i="19" s="1"/>
  <c r="AJ101" i="19"/>
  <c r="AM92" i="19"/>
  <c r="M92" i="19"/>
  <c r="AQ92" i="19" s="1"/>
  <c r="L94" i="19"/>
  <c r="AI94" i="19"/>
  <c r="AB93" i="19"/>
  <c r="AD93" i="19" s="1"/>
  <c r="AC93" i="19"/>
  <c r="AB99" i="19"/>
  <c r="AD99" i="19" s="1"/>
  <c r="AC99" i="19"/>
  <c r="AM100" i="19"/>
  <c r="M100" i="19"/>
  <c r="AQ100" i="19" s="1"/>
  <c r="AI95" i="19"/>
  <c r="L95" i="19"/>
  <c r="X81" i="19"/>
  <c r="Y81" i="19"/>
  <c r="AA69" i="19"/>
  <c r="K69" i="19"/>
  <c r="AA81" i="19"/>
  <c r="K81" i="19"/>
  <c r="AN73" i="19"/>
  <c r="Y75" i="19"/>
  <c r="X75" i="19"/>
  <c r="AC71" i="19"/>
  <c r="AB71" i="19"/>
  <c r="Y69" i="19"/>
  <c r="X69" i="19"/>
  <c r="Z69" i="19" s="1"/>
  <c r="AI71" i="19"/>
  <c r="L71" i="19"/>
  <c r="AR73" i="19"/>
  <c r="AA75" i="19"/>
  <c r="K75" i="19"/>
  <c r="AA60" i="19"/>
  <c r="K60" i="19"/>
  <c r="M53" i="19"/>
  <c r="AQ53" i="19" s="1"/>
  <c r="AM53" i="19"/>
  <c r="Y58" i="19"/>
  <c r="X58" i="19"/>
  <c r="Y54" i="19"/>
  <c r="X54" i="19"/>
  <c r="AM59" i="19"/>
  <c r="M59" i="19"/>
  <c r="AQ59" i="19" s="1"/>
  <c r="K56" i="19"/>
  <c r="AA56" i="19"/>
  <c r="Y52" i="19"/>
  <c r="X52" i="19"/>
  <c r="X50" i="19"/>
  <c r="Y50" i="19"/>
  <c r="AI48" i="19"/>
  <c r="L48" i="19"/>
  <c r="AJ59" i="19"/>
  <c r="Y56" i="19"/>
  <c r="X56" i="19"/>
  <c r="AA58" i="19"/>
  <c r="K58" i="19"/>
  <c r="AA54" i="19"/>
  <c r="K54" i="19"/>
  <c r="Y60" i="19"/>
  <c r="X60" i="19"/>
  <c r="AK53" i="19"/>
  <c r="AL53" i="19" s="1"/>
  <c r="AJ53" i="19"/>
  <c r="K52" i="19"/>
  <c r="AA52" i="19"/>
  <c r="AA50" i="19"/>
  <c r="K50" i="19"/>
  <c r="AC48" i="19"/>
  <c r="AB48" i="19"/>
  <c r="Y38" i="19"/>
  <c r="X38" i="19"/>
  <c r="AM33" i="19"/>
  <c r="M33" i="19"/>
  <c r="AQ33" i="19" s="1"/>
  <c r="L32" i="19"/>
  <c r="AI32" i="19"/>
  <c r="X28" i="19"/>
  <c r="Z28" i="19" s="1"/>
  <c r="Y28" i="19"/>
  <c r="Y30" i="19"/>
  <c r="X30" i="19"/>
  <c r="Z30" i="19" s="1"/>
  <c r="Y36" i="19"/>
  <c r="X36" i="19"/>
  <c r="AK33" i="19"/>
  <c r="AL33" i="19" s="1"/>
  <c r="AJ33" i="19"/>
  <c r="AI40" i="19"/>
  <c r="L40" i="19"/>
  <c r="AA38" i="19"/>
  <c r="K38" i="19"/>
  <c r="AA36" i="19"/>
  <c r="K36" i="19"/>
  <c r="AB40" i="19"/>
  <c r="AC40" i="19"/>
  <c r="AB32" i="19"/>
  <c r="AD32" i="19" s="1"/>
  <c r="AC32" i="19"/>
  <c r="AA28" i="19"/>
  <c r="K28" i="19"/>
  <c r="K30" i="19"/>
  <c r="AA30" i="19"/>
  <c r="I137" i="20"/>
  <c r="O155" i="15"/>
  <c r="I138" i="20" s="1"/>
  <c r="F92" i="15"/>
  <c r="L59" i="4"/>
  <c r="L83" i="4" s="1"/>
  <c r="K159" i="4" s="1"/>
  <c r="N90" i="15"/>
  <c r="O90" i="15" s="1"/>
  <c r="H16" i="14"/>
  <c r="M33" i="13"/>
  <c r="D45" i="13" s="1"/>
  <c r="F45" i="13" s="1"/>
  <c r="H45" i="13" s="1"/>
  <c r="I38" i="20" s="1"/>
  <c r="H18" i="14"/>
  <c r="E281" i="15"/>
  <c r="H136" i="20"/>
  <c r="H124" i="20"/>
  <c r="E214" i="15"/>
  <c r="AA115" i="15" l="1"/>
  <c r="AD115" i="15"/>
  <c r="N92" i="15"/>
  <c r="O92" i="15" s="1"/>
  <c r="F218" i="15"/>
  <c r="G92" i="15"/>
  <c r="J81" i="15"/>
  <c r="H207" i="15"/>
  <c r="X81" i="15"/>
  <c r="I440" i="15"/>
  <c r="R184" i="15"/>
  <c r="S184" i="15" s="1"/>
  <c r="Q184" i="15"/>
  <c r="Q136" i="15"/>
  <c r="R136" i="15"/>
  <c r="S136" i="15" s="1"/>
  <c r="H90" i="15"/>
  <c r="G216" i="15"/>
  <c r="G449" i="15"/>
  <c r="P90" i="15"/>
  <c r="Q93" i="15"/>
  <c r="R93" i="15"/>
  <c r="S93" i="15" s="1"/>
  <c r="AA313" i="15"/>
  <c r="AD313" i="15"/>
  <c r="U82" i="15"/>
  <c r="V82" i="15"/>
  <c r="W82" i="15" s="1"/>
  <c r="H541" i="15"/>
  <c r="T184" i="15"/>
  <c r="G567" i="15"/>
  <c r="P210" i="15"/>
  <c r="Q91" i="15"/>
  <c r="R91" i="15"/>
  <c r="S91" i="15" s="1"/>
  <c r="G571" i="15"/>
  <c r="G214" i="15" s="1"/>
  <c r="P214" i="15" s="1"/>
  <c r="Q214" i="15" s="1"/>
  <c r="Q215" i="15"/>
  <c r="R215" i="15"/>
  <c r="S215" i="15" s="1"/>
  <c r="U80" i="15"/>
  <c r="V80" i="15"/>
  <c r="W80" i="15" s="1"/>
  <c r="H447" i="15"/>
  <c r="H88" i="15" s="1"/>
  <c r="U81" i="15"/>
  <c r="V81" i="15"/>
  <c r="W81" i="15" s="1"/>
  <c r="AA312" i="15"/>
  <c r="AD312" i="15"/>
  <c r="AE375" i="15"/>
  <c r="AH375" i="15"/>
  <c r="P212" i="15"/>
  <c r="G569" i="15"/>
  <c r="G562" i="15"/>
  <c r="P205" i="15"/>
  <c r="J84" i="15"/>
  <c r="H210" i="15"/>
  <c r="I443" i="15"/>
  <c r="X84" i="15"/>
  <c r="I91" i="15"/>
  <c r="H217" i="15"/>
  <c r="T91" i="15"/>
  <c r="H450" i="15"/>
  <c r="P209" i="15"/>
  <c r="G566" i="15"/>
  <c r="AE380" i="15"/>
  <c r="AH380" i="15"/>
  <c r="U89" i="15"/>
  <c r="V89" i="15"/>
  <c r="W89" i="15" s="1"/>
  <c r="U85" i="15"/>
  <c r="V85" i="15"/>
  <c r="W85" i="15" s="1"/>
  <c r="S176" i="15"/>
  <c r="J146" i="20" s="1"/>
  <c r="J145" i="20"/>
  <c r="J228" i="20" s="1"/>
  <c r="AI372" i="15"/>
  <c r="AL372" i="15"/>
  <c r="AM372" i="15" s="1"/>
  <c r="P262" i="15"/>
  <c r="G619" i="15"/>
  <c r="G638" i="15" s="1"/>
  <c r="G281" i="15" s="1"/>
  <c r="P281" i="15" s="1"/>
  <c r="AA379" i="15"/>
  <c r="AD379" i="15"/>
  <c r="G576" i="15"/>
  <c r="P219" i="15"/>
  <c r="G563" i="15"/>
  <c r="P206" i="15"/>
  <c r="H514" i="15"/>
  <c r="H155" i="15" s="1"/>
  <c r="P208" i="15"/>
  <c r="G565" i="15"/>
  <c r="G561" i="15"/>
  <c r="P204" i="15"/>
  <c r="I184" i="15"/>
  <c r="J58" i="15"/>
  <c r="X58" i="15"/>
  <c r="I417" i="15"/>
  <c r="U86" i="15"/>
  <c r="V86" i="15"/>
  <c r="W86" i="15" s="1"/>
  <c r="U79" i="15"/>
  <c r="V79" i="15"/>
  <c r="W79" i="15" s="1"/>
  <c r="U84" i="15"/>
  <c r="V84" i="15"/>
  <c r="W84" i="15" s="1"/>
  <c r="T185" i="15"/>
  <c r="H542" i="15"/>
  <c r="J89" i="15"/>
  <c r="I215" i="15"/>
  <c r="X89" i="15"/>
  <c r="I448" i="15"/>
  <c r="J85" i="15"/>
  <c r="H211" i="15"/>
  <c r="I444" i="15"/>
  <c r="X85" i="15"/>
  <c r="AA373" i="15"/>
  <c r="AD373" i="15"/>
  <c r="AE314" i="15"/>
  <c r="AH314" i="15"/>
  <c r="AA350" i="15"/>
  <c r="AD350" i="15"/>
  <c r="H618" i="15"/>
  <c r="T261" i="15"/>
  <c r="J136" i="20"/>
  <c r="P155" i="15"/>
  <c r="J59" i="15"/>
  <c r="I185" i="15"/>
  <c r="X59" i="15"/>
  <c r="I418" i="15"/>
  <c r="U83" i="15"/>
  <c r="V83" i="15"/>
  <c r="W83" i="15" s="1"/>
  <c r="AD345" i="15"/>
  <c r="AA345" i="15"/>
  <c r="AE176" i="15"/>
  <c r="M146" i="20" s="1"/>
  <c r="M145" i="20"/>
  <c r="M228" i="20" s="1"/>
  <c r="Q261" i="15"/>
  <c r="R261" i="15"/>
  <c r="S261" i="15" s="1"/>
  <c r="J135" i="15"/>
  <c r="I261" i="15"/>
  <c r="I494" i="15"/>
  <c r="X135" i="15"/>
  <c r="U78" i="15"/>
  <c r="V78" i="15"/>
  <c r="W78" i="15" s="1"/>
  <c r="N214" i="15"/>
  <c r="O214" i="15" s="1"/>
  <c r="R185" i="15"/>
  <c r="S185" i="15" s="1"/>
  <c r="Q185" i="15"/>
  <c r="P207" i="15"/>
  <c r="G564" i="15"/>
  <c r="U58" i="15"/>
  <c r="V58" i="15"/>
  <c r="W58" i="15" s="1"/>
  <c r="J86" i="15"/>
  <c r="H212" i="15"/>
  <c r="I445" i="15"/>
  <c r="X86" i="15"/>
  <c r="J79" i="15"/>
  <c r="H205" i="15"/>
  <c r="X79" i="15"/>
  <c r="I438" i="15"/>
  <c r="U59" i="15"/>
  <c r="V59" i="15"/>
  <c r="W59" i="15" s="1"/>
  <c r="G574" i="15"/>
  <c r="P217" i="15"/>
  <c r="J83" i="15"/>
  <c r="H209" i="15"/>
  <c r="I442" i="15"/>
  <c r="X83" i="15"/>
  <c r="AA374" i="15"/>
  <c r="AD374" i="15"/>
  <c r="H572" i="15"/>
  <c r="T215" i="15"/>
  <c r="G568" i="15"/>
  <c r="P211" i="15"/>
  <c r="I136" i="15"/>
  <c r="H262" i="15"/>
  <c r="H495" i="15"/>
  <c r="T136" i="15"/>
  <c r="F573" i="15"/>
  <c r="N216" i="15"/>
  <c r="O216" i="15" s="1"/>
  <c r="I93" i="15"/>
  <c r="H219" i="15"/>
  <c r="H452" i="15"/>
  <c r="T93" i="15"/>
  <c r="J80" i="15"/>
  <c r="H206" i="15"/>
  <c r="I439" i="15"/>
  <c r="X80" i="15"/>
  <c r="U135" i="15"/>
  <c r="V135" i="15"/>
  <c r="W135" i="15" s="1"/>
  <c r="J82" i="15"/>
  <c r="H208" i="15"/>
  <c r="I441" i="15"/>
  <c r="X82" i="15"/>
  <c r="J78" i="15"/>
  <c r="H204" i="15"/>
  <c r="X78" i="15"/>
  <c r="I437" i="15"/>
  <c r="I125" i="20"/>
  <c r="I150" i="20" s="1"/>
  <c r="I247" i="20"/>
  <c r="J114" i="15"/>
  <c r="X114" i="15"/>
  <c r="I473" i="15"/>
  <c r="U114" i="15"/>
  <c r="V114" i="15"/>
  <c r="W114" i="15" s="1"/>
  <c r="T88" i="15"/>
  <c r="K124" i="20"/>
  <c r="J87" i="15"/>
  <c r="I446" i="15"/>
  <c r="X87" i="15"/>
  <c r="U87" i="15"/>
  <c r="V87" i="15"/>
  <c r="W87" i="15" s="1"/>
  <c r="Q88" i="15"/>
  <c r="J126" i="20" s="1"/>
  <c r="J151" i="20" s="1"/>
  <c r="R88" i="15"/>
  <c r="J125" i="20"/>
  <c r="J150" i="20" s="1"/>
  <c r="V70" i="19"/>
  <c r="AO73" i="19"/>
  <c r="Z81" i="19"/>
  <c r="V79" i="19"/>
  <c r="Z50" i="19"/>
  <c r="Z49" i="19"/>
  <c r="V51" i="19"/>
  <c r="Z59" i="19"/>
  <c r="AC59" i="19"/>
  <c r="AA119" i="19"/>
  <c r="K119" i="19"/>
  <c r="AC109" i="19"/>
  <c r="AB109" i="19"/>
  <c r="AD109" i="19" s="1"/>
  <c r="Y120" i="19"/>
  <c r="X120" i="19"/>
  <c r="Z120" i="19" s="1"/>
  <c r="Z139" i="19"/>
  <c r="K120" i="19"/>
  <c r="AA120" i="19"/>
  <c r="V120" i="19"/>
  <c r="AD142" i="19"/>
  <c r="V140" i="19"/>
  <c r="AC111" i="19"/>
  <c r="AB111" i="19"/>
  <c r="AD111" i="19" s="1"/>
  <c r="X112" i="19"/>
  <c r="Y112" i="19"/>
  <c r="AC113" i="19"/>
  <c r="AB113" i="19"/>
  <c r="AD113" i="19" s="1"/>
  <c r="L109" i="19"/>
  <c r="AI109" i="19"/>
  <c r="AD118" i="19"/>
  <c r="Z129" i="19"/>
  <c r="V138" i="19"/>
  <c r="X119" i="19"/>
  <c r="Z119" i="19" s="1"/>
  <c r="Y119" i="19"/>
  <c r="L111" i="19"/>
  <c r="AI111" i="19"/>
  <c r="AA112" i="19"/>
  <c r="K112" i="19"/>
  <c r="L113" i="19"/>
  <c r="AI113" i="19"/>
  <c r="Z75" i="19"/>
  <c r="V88" i="19"/>
  <c r="Z90" i="19"/>
  <c r="Z97" i="19"/>
  <c r="X74" i="19"/>
  <c r="Y74" i="19"/>
  <c r="AN77" i="19"/>
  <c r="AO77" i="19"/>
  <c r="AP77" i="19" s="1"/>
  <c r="AA79" i="19"/>
  <c r="K79" i="19"/>
  <c r="Z68" i="19"/>
  <c r="V78" i="19"/>
  <c r="K76" i="19"/>
  <c r="AA76" i="19"/>
  <c r="AS77" i="19"/>
  <c r="AT77" i="19" s="1"/>
  <c r="AR77" i="19"/>
  <c r="Y80" i="19"/>
  <c r="X80" i="19"/>
  <c r="K70" i="19"/>
  <c r="AA70" i="19"/>
  <c r="AB72" i="19"/>
  <c r="AC72" i="19"/>
  <c r="X76" i="19"/>
  <c r="Z76" i="19" s="1"/>
  <c r="Y76" i="19"/>
  <c r="Z101" i="19"/>
  <c r="AD71" i="19"/>
  <c r="AD95" i="19"/>
  <c r="V96" i="19"/>
  <c r="Z98" i="19"/>
  <c r="AA78" i="19"/>
  <c r="K78" i="19"/>
  <c r="V80" i="19"/>
  <c r="V74" i="19"/>
  <c r="K80" i="19"/>
  <c r="AA80" i="19"/>
  <c r="Y70" i="19"/>
  <c r="X70" i="19"/>
  <c r="L72" i="19"/>
  <c r="AI72" i="19"/>
  <c r="AB68" i="19"/>
  <c r="AC68" i="19"/>
  <c r="K74" i="19"/>
  <c r="AA74" i="19"/>
  <c r="Y78" i="19"/>
  <c r="X78" i="19"/>
  <c r="X79" i="19"/>
  <c r="Y79" i="19"/>
  <c r="Z72" i="19"/>
  <c r="L68" i="19"/>
  <c r="AI68" i="19"/>
  <c r="X34" i="19"/>
  <c r="Y34" i="19"/>
  <c r="L29" i="19"/>
  <c r="AI29" i="19"/>
  <c r="Z60" i="19"/>
  <c r="Z58" i="19"/>
  <c r="AC39" i="19"/>
  <c r="AB39" i="19"/>
  <c r="AB31" i="19"/>
  <c r="AC31" i="19"/>
  <c r="AA34" i="19"/>
  <c r="K34" i="19"/>
  <c r="AC29" i="19"/>
  <c r="AB29" i="19"/>
  <c r="AD29" i="19" s="1"/>
  <c r="AC35" i="19"/>
  <c r="AB35" i="19"/>
  <c r="V34" i="19"/>
  <c r="K55" i="19"/>
  <c r="AA55" i="19"/>
  <c r="L35" i="19"/>
  <c r="AI35" i="19"/>
  <c r="AD40" i="19"/>
  <c r="Z39" i="19"/>
  <c r="L39" i="19"/>
  <c r="AI39" i="19"/>
  <c r="L31" i="19"/>
  <c r="AI31" i="19"/>
  <c r="AI27" i="19"/>
  <c r="L27" i="19"/>
  <c r="AC37" i="19"/>
  <c r="AB37" i="19"/>
  <c r="AD37" i="19" s="1"/>
  <c r="Z36" i="19"/>
  <c r="Z38" i="19"/>
  <c r="AD48" i="19"/>
  <c r="Z56" i="19"/>
  <c r="Z52" i="19"/>
  <c r="Z54" i="19"/>
  <c r="X55" i="19"/>
  <c r="Y55" i="19"/>
  <c r="Z31" i="19"/>
  <c r="V55" i="19"/>
  <c r="AI37" i="19"/>
  <c r="L37" i="19"/>
  <c r="Z27" i="19"/>
  <c r="Z37" i="19"/>
  <c r="AC27" i="19"/>
  <c r="AB27" i="19"/>
  <c r="AD27" i="19" s="1"/>
  <c r="Y141" i="19"/>
  <c r="X141" i="19"/>
  <c r="Z141" i="19" s="1"/>
  <c r="AB135" i="19"/>
  <c r="AC135" i="19"/>
  <c r="AC139" i="19"/>
  <c r="AB139" i="19"/>
  <c r="AD139" i="19" s="1"/>
  <c r="AA141" i="19"/>
  <c r="K141" i="19"/>
  <c r="L133" i="19"/>
  <c r="AI133" i="19"/>
  <c r="K138" i="19"/>
  <c r="AA138" i="19"/>
  <c r="AI134" i="19"/>
  <c r="L134" i="19"/>
  <c r="M137" i="19"/>
  <c r="AQ137" i="19" s="1"/>
  <c r="AM137" i="19"/>
  <c r="L135" i="19"/>
  <c r="AI135" i="19"/>
  <c r="L139" i="19"/>
  <c r="AI139" i="19"/>
  <c r="AK136" i="19"/>
  <c r="AL136" i="19" s="1"/>
  <c r="AJ136" i="19"/>
  <c r="X140" i="19"/>
  <c r="Y140" i="19"/>
  <c r="AM136" i="19"/>
  <c r="M136" i="19"/>
  <c r="AQ136" i="19" s="1"/>
  <c r="K140" i="19"/>
  <c r="AA140" i="19"/>
  <c r="L131" i="19"/>
  <c r="AI131" i="19"/>
  <c r="X138" i="19"/>
  <c r="Y138" i="19"/>
  <c r="AC134" i="19"/>
  <c r="AB134" i="19"/>
  <c r="AD134" i="19" s="1"/>
  <c r="AJ137" i="19"/>
  <c r="AK137" i="19"/>
  <c r="AL137" i="19" s="1"/>
  <c r="AB131" i="19"/>
  <c r="AC131" i="19"/>
  <c r="AB133" i="19"/>
  <c r="AC133" i="19"/>
  <c r="L129" i="19"/>
  <c r="AI129" i="19"/>
  <c r="AB129" i="19"/>
  <c r="AC129" i="19"/>
  <c r="AA96" i="19"/>
  <c r="K96" i="19"/>
  <c r="AI97" i="19"/>
  <c r="L97" i="19"/>
  <c r="AC90" i="19"/>
  <c r="AB90" i="19"/>
  <c r="AD90" i="19" s="1"/>
  <c r="AN89" i="19"/>
  <c r="AO89" i="19"/>
  <c r="AP89" i="19" s="1"/>
  <c r="Y96" i="19"/>
  <c r="X96" i="19"/>
  <c r="Z96" i="19" s="1"/>
  <c r="AR89" i="19"/>
  <c r="AB98" i="19"/>
  <c r="AC98" i="19"/>
  <c r="AC97" i="19"/>
  <c r="AB97" i="19"/>
  <c r="AD97" i="19" s="1"/>
  <c r="L90" i="19"/>
  <c r="AI90" i="19"/>
  <c r="AI98" i="19"/>
  <c r="L98" i="19"/>
  <c r="K88" i="19"/>
  <c r="AA88" i="19"/>
  <c r="Y88" i="19"/>
  <c r="X88" i="19"/>
  <c r="Z88" i="19" s="1"/>
  <c r="AC57" i="19"/>
  <c r="AB57" i="19"/>
  <c r="L49" i="19"/>
  <c r="AI49" i="19"/>
  <c r="Y51" i="19"/>
  <c r="X51" i="19"/>
  <c r="L57" i="19"/>
  <c r="AI57" i="19"/>
  <c r="AB49" i="19"/>
  <c r="AD49" i="19" s="1"/>
  <c r="AC49" i="19"/>
  <c r="K51" i="19"/>
  <c r="AA51" i="19"/>
  <c r="AR47" i="19"/>
  <c r="AN47" i="19"/>
  <c r="AO47" i="19"/>
  <c r="AP47" i="19" s="1"/>
  <c r="AI348" i="15"/>
  <c r="AL348" i="15"/>
  <c r="AM348" i="15" s="1"/>
  <c r="AI349" i="15"/>
  <c r="AL349" i="15"/>
  <c r="AM349" i="15" s="1"/>
  <c r="AI347" i="15"/>
  <c r="AL347" i="15"/>
  <c r="AM347" i="15" s="1"/>
  <c r="AI377" i="15"/>
  <c r="AL377" i="15"/>
  <c r="AM377" i="15" s="1"/>
  <c r="AI378" i="15"/>
  <c r="AL378" i="15"/>
  <c r="AM378" i="15" s="1"/>
  <c r="AD400" i="15"/>
  <c r="AA400" i="15"/>
  <c r="AA399" i="15"/>
  <c r="AD399" i="15"/>
  <c r="AI240" i="15"/>
  <c r="AL240" i="15"/>
  <c r="AM240" i="15" s="1"/>
  <c r="AM142" i="19"/>
  <c r="M142" i="19"/>
  <c r="AQ142" i="19" s="1"/>
  <c r="AK130" i="19"/>
  <c r="AL130" i="19" s="1"/>
  <c r="AJ130" i="19"/>
  <c r="AM132" i="19"/>
  <c r="M132" i="19"/>
  <c r="AQ132" i="19" s="1"/>
  <c r="AM130" i="19"/>
  <c r="M130" i="19"/>
  <c r="AQ130" i="19" s="1"/>
  <c r="AJ132" i="19"/>
  <c r="AK132" i="19"/>
  <c r="AL132" i="19" s="1"/>
  <c r="AK142" i="19"/>
  <c r="AL142" i="19" s="1"/>
  <c r="AJ142" i="19"/>
  <c r="L122" i="19"/>
  <c r="AI122" i="19"/>
  <c r="AC122" i="19"/>
  <c r="AB122" i="19"/>
  <c r="AD122" i="19" s="1"/>
  <c r="AC116" i="19"/>
  <c r="AB116" i="19"/>
  <c r="AI110" i="19"/>
  <c r="L110" i="19"/>
  <c r="AR117" i="19"/>
  <c r="AN114" i="19"/>
  <c r="AO114" i="19"/>
  <c r="AP114" i="19" s="1"/>
  <c r="AM118" i="19"/>
  <c r="M118" i="19"/>
  <c r="AQ118" i="19" s="1"/>
  <c r="AJ115" i="19"/>
  <c r="AK115" i="19"/>
  <c r="AL115" i="19" s="1"/>
  <c r="AN121" i="19"/>
  <c r="AO121" i="19"/>
  <c r="AP121" i="19" s="1"/>
  <c r="AI116" i="19"/>
  <c r="L116" i="19"/>
  <c r="AS121" i="19"/>
  <c r="AT121" i="19" s="1"/>
  <c r="AR121" i="19"/>
  <c r="AC110" i="19"/>
  <c r="AB110" i="19"/>
  <c r="AO117" i="19"/>
  <c r="AP117" i="19" s="1"/>
  <c r="AN117" i="19"/>
  <c r="AR114" i="19"/>
  <c r="AS114" i="19"/>
  <c r="AT114" i="19" s="1"/>
  <c r="AJ118" i="19"/>
  <c r="AK118" i="19"/>
  <c r="AL118" i="19" s="1"/>
  <c r="AM115" i="19"/>
  <c r="M115" i="19"/>
  <c r="AQ115" i="19" s="1"/>
  <c r="AM95" i="19"/>
  <c r="M95" i="19"/>
  <c r="AQ95" i="19" s="1"/>
  <c r="AJ94" i="19"/>
  <c r="AK94" i="19"/>
  <c r="AL94" i="19" s="1"/>
  <c r="AJ93" i="19"/>
  <c r="AK93" i="19"/>
  <c r="AL93" i="19" s="1"/>
  <c r="M94" i="19"/>
  <c r="AQ94" i="19" s="1"/>
  <c r="AM94" i="19"/>
  <c r="AR101" i="19"/>
  <c r="AR100" i="19"/>
  <c r="M99" i="19"/>
  <c r="AQ99" i="19" s="1"/>
  <c r="AM99" i="19"/>
  <c r="AN91" i="19"/>
  <c r="AO91" i="19"/>
  <c r="AP91" i="19" s="1"/>
  <c r="AR92" i="19"/>
  <c r="AS92" i="19"/>
  <c r="AT92" i="19" s="1"/>
  <c r="AN101" i="19"/>
  <c r="AO101" i="19"/>
  <c r="AP101" i="19" s="1"/>
  <c r="AK95" i="19"/>
  <c r="AL95" i="19" s="1"/>
  <c r="AJ95" i="19"/>
  <c r="AN92" i="19"/>
  <c r="AO92" i="19"/>
  <c r="AP92" i="19" s="1"/>
  <c r="M93" i="19"/>
  <c r="AQ93" i="19" s="1"/>
  <c r="AM93" i="19"/>
  <c r="AN100" i="19"/>
  <c r="AO100" i="19"/>
  <c r="AP100" i="19" s="1"/>
  <c r="AK99" i="19"/>
  <c r="AL99" i="19" s="1"/>
  <c r="AJ99" i="19"/>
  <c r="AR91" i="19"/>
  <c r="AS91" i="19"/>
  <c r="AT91" i="19" s="1"/>
  <c r="L75" i="19"/>
  <c r="AI75" i="19"/>
  <c r="AM71" i="19"/>
  <c r="M71" i="19"/>
  <c r="AQ71" i="19" s="1"/>
  <c r="AI81" i="19"/>
  <c r="L81" i="19"/>
  <c r="AI69" i="19"/>
  <c r="L69" i="19"/>
  <c r="AC75" i="19"/>
  <c r="AB75" i="19"/>
  <c r="AD75" i="19" s="1"/>
  <c r="AB69" i="19"/>
  <c r="AC69" i="19"/>
  <c r="AK71" i="19"/>
  <c r="AL71" i="19" s="1"/>
  <c r="AJ71" i="19"/>
  <c r="AB81" i="19"/>
  <c r="AC81" i="19"/>
  <c r="M48" i="19"/>
  <c r="AQ48" i="19" s="1"/>
  <c r="AM48" i="19"/>
  <c r="AC56" i="19"/>
  <c r="AB56" i="19"/>
  <c r="AB58" i="19"/>
  <c r="AC58" i="19"/>
  <c r="AK48" i="19"/>
  <c r="AL48" i="19" s="1"/>
  <c r="AJ48" i="19"/>
  <c r="AI56" i="19"/>
  <c r="L56" i="19"/>
  <c r="AR53" i="19"/>
  <c r="AB52" i="19"/>
  <c r="AC52" i="19"/>
  <c r="AI54" i="19"/>
  <c r="L54" i="19"/>
  <c r="AR59" i="19"/>
  <c r="AI60" i="19"/>
  <c r="L60" i="19"/>
  <c r="AI50" i="19"/>
  <c r="L50" i="19"/>
  <c r="AI58" i="19"/>
  <c r="L58" i="19"/>
  <c r="AO53" i="19"/>
  <c r="AP53" i="19" s="1"/>
  <c r="AN53" i="19"/>
  <c r="AC50" i="19"/>
  <c r="AB50" i="19"/>
  <c r="AD50" i="19" s="1"/>
  <c r="L52" i="19"/>
  <c r="AI52" i="19"/>
  <c r="AB54" i="19"/>
  <c r="AC54" i="19"/>
  <c r="AN59" i="19"/>
  <c r="AB60" i="19"/>
  <c r="AC60" i="19"/>
  <c r="AI36" i="19"/>
  <c r="L36" i="19"/>
  <c r="AI30" i="19"/>
  <c r="L30" i="19"/>
  <c r="AI28" i="19"/>
  <c r="L28" i="19"/>
  <c r="L38" i="19"/>
  <c r="AI38" i="19"/>
  <c r="M40" i="19"/>
  <c r="AQ40" i="19" s="1"/>
  <c r="AM40" i="19"/>
  <c r="AK32" i="19"/>
  <c r="AL32" i="19" s="1"/>
  <c r="AJ32" i="19"/>
  <c r="AR33" i="19"/>
  <c r="AC30" i="19"/>
  <c r="AB30" i="19"/>
  <c r="AD30" i="19" s="1"/>
  <c r="AB36" i="19"/>
  <c r="AC36" i="19"/>
  <c r="AC28" i="19"/>
  <c r="AB28" i="19"/>
  <c r="AD28" i="19" s="1"/>
  <c r="AB38" i="19"/>
  <c r="AC38" i="19"/>
  <c r="AK40" i="19"/>
  <c r="AL40" i="19" s="1"/>
  <c r="AJ40" i="19"/>
  <c r="M32" i="19"/>
  <c r="AQ32" i="19" s="1"/>
  <c r="AM32" i="19"/>
  <c r="AO33" i="19"/>
  <c r="AP33" i="19" s="1"/>
  <c r="AN33" i="19"/>
  <c r="I18" i="20"/>
  <c r="I249" i="20" s="1"/>
  <c r="I238" i="20"/>
  <c r="I156" i="20"/>
  <c r="I139" i="20"/>
  <c r="I227" i="20" s="1"/>
  <c r="I157" i="20"/>
  <c r="I140" i="20"/>
  <c r="K164" i="4"/>
  <c r="H42" i="14" s="1"/>
  <c r="H44" i="14" s="1"/>
  <c r="F37" i="14"/>
  <c r="L36" i="14"/>
  <c r="F134" i="15"/>
  <c r="I128" i="20"/>
  <c r="I151" i="20"/>
  <c r="G71" i="13"/>
  <c r="D71" i="13" s="1"/>
  <c r="F46" i="13"/>
  <c r="I36" i="20"/>
  <c r="I243" i="20"/>
  <c r="I20" i="20"/>
  <c r="AE115" i="15" l="1"/>
  <c r="AH115" i="15"/>
  <c r="K82" i="15"/>
  <c r="I208" i="15"/>
  <c r="AB82" i="15"/>
  <c r="J441" i="15"/>
  <c r="F617" i="15"/>
  <c r="F260" i="15" s="1"/>
  <c r="N260" i="15" s="1"/>
  <c r="O260" i="15" s="1"/>
  <c r="J136" i="15"/>
  <c r="I262" i="15"/>
  <c r="I495" i="15"/>
  <c r="I514" i="15" s="1"/>
  <c r="I155" i="15" s="1"/>
  <c r="X136" i="15"/>
  <c r="K135" i="15"/>
  <c r="J261" i="15"/>
  <c r="AB135" i="15"/>
  <c r="J494" i="15"/>
  <c r="K59" i="15"/>
  <c r="J185" i="15"/>
  <c r="J418" i="15"/>
  <c r="AB59" i="15"/>
  <c r="Y85" i="15"/>
  <c r="Z85" i="15"/>
  <c r="AA85" i="15" s="1"/>
  <c r="K136" i="20"/>
  <c r="T155" i="15"/>
  <c r="Q209" i="15"/>
  <c r="R209" i="15"/>
  <c r="S209" i="15" s="1"/>
  <c r="K84" i="15"/>
  <c r="I210" i="15"/>
  <c r="J443" i="15"/>
  <c r="AB84" i="15"/>
  <c r="I90" i="15"/>
  <c r="H216" i="15"/>
  <c r="T90" i="15"/>
  <c r="H449" i="15"/>
  <c r="K81" i="15"/>
  <c r="I207" i="15"/>
  <c r="AB81" i="15"/>
  <c r="J440" i="15"/>
  <c r="H576" i="15"/>
  <c r="T219" i="15"/>
  <c r="R211" i="15"/>
  <c r="S211" i="15" s="1"/>
  <c r="Q211" i="15"/>
  <c r="AE374" i="15"/>
  <c r="AH374" i="15"/>
  <c r="T209" i="15"/>
  <c r="H566" i="15"/>
  <c r="T205" i="15"/>
  <c r="H562" i="15"/>
  <c r="Y135" i="15"/>
  <c r="Z135" i="15"/>
  <c r="AA135" i="15" s="1"/>
  <c r="J137" i="20"/>
  <c r="J156" i="20" s="1"/>
  <c r="R155" i="15"/>
  <c r="Q155" i="15"/>
  <c r="J138" i="20" s="1"/>
  <c r="J157" i="20" s="1"/>
  <c r="V185" i="15"/>
  <c r="W185" i="15" s="1"/>
  <c r="U185" i="15"/>
  <c r="Y58" i="15"/>
  <c r="Z58" i="15"/>
  <c r="AA58" i="15" s="1"/>
  <c r="AE379" i="15"/>
  <c r="AH379" i="15"/>
  <c r="AI380" i="15"/>
  <c r="AL380" i="15"/>
  <c r="AM380" i="15" s="1"/>
  <c r="Y84" i="15"/>
  <c r="Z84" i="15"/>
  <c r="AA84" i="15" s="1"/>
  <c r="AI375" i="15"/>
  <c r="AL375" i="15"/>
  <c r="AM375" i="15" s="1"/>
  <c r="R214" i="15"/>
  <c r="Y78" i="15"/>
  <c r="Z78" i="15"/>
  <c r="AA78" i="15" s="1"/>
  <c r="K80" i="15"/>
  <c r="I206" i="15"/>
  <c r="AB80" i="15"/>
  <c r="J439" i="15"/>
  <c r="J93" i="15"/>
  <c r="I219" i="15"/>
  <c r="I452" i="15"/>
  <c r="X93" i="15"/>
  <c r="K83" i="15"/>
  <c r="I209" i="15"/>
  <c r="AB83" i="15"/>
  <c r="J442" i="15"/>
  <c r="K79" i="15"/>
  <c r="I205" i="15"/>
  <c r="AB79" i="15"/>
  <c r="J438" i="15"/>
  <c r="K86" i="15"/>
  <c r="I212" i="15"/>
  <c r="AB86" i="15"/>
  <c r="J445" i="15"/>
  <c r="R207" i="15"/>
  <c r="S207" i="15" s="1"/>
  <c r="Q207" i="15"/>
  <c r="AE345" i="15"/>
  <c r="AH345" i="15"/>
  <c r="Y59" i="15"/>
  <c r="Z59" i="15"/>
  <c r="AA59" i="15" s="1"/>
  <c r="AH373" i="15"/>
  <c r="AE373" i="15"/>
  <c r="T211" i="15"/>
  <c r="H568" i="15"/>
  <c r="X215" i="15"/>
  <c r="I572" i="15"/>
  <c r="K58" i="15"/>
  <c r="J184" i="15"/>
  <c r="J417" i="15"/>
  <c r="AB58" i="15"/>
  <c r="U91" i="15"/>
  <c r="V91" i="15"/>
  <c r="W91" i="15" s="1"/>
  <c r="Y81" i="15"/>
  <c r="Z81" i="15"/>
  <c r="AA81" i="15" s="1"/>
  <c r="N218" i="15"/>
  <c r="O218" i="15" s="1"/>
  <c r="F575" i="15"/>
  <c r="K78" i="15"/>
  <c r="I204" i="15"/>
  <c r="J437" i="15"/>
  <c r="AB78" i="15"/>
  <c r="Y79" i="15"/>
  <c r="Z79" i="15"/>
  <c r="AA79" i="15" s="1"/>
  <c r="AI314" i="15"/>
  <c r="AL314" i="15"/>
  <c r="AM314" i="15" s="1"/>
  <c r="Q204" i="15"/>
  <c r="R204" i="15"/>
  <c r="S204" i="15" s="1"/>
  <c r="R262" i="15"/>
  <c r="S262" i="15" s="1"/>
  <c r="Q262" i="15"/>
  <c r="J91" i="15"/>
  <c r="I217" i="15"/>
  <c r="I450" i="15"/>
  <c r="X91" i="15"/>
  <c r="R212" i="15"/>
  <c r="S212" i="15" s="1"/>
  <c r="Q212" i="15"/>
  <c r="Y82" i="15"/>
  <c r="Z82" i="15"/>
  <c r="AA82" i="15" s="1"/>
  <c r="H563" i="15"/>
  <c r="T206" i="15"/>
  <c r="U136" i="15"/>
  <c r="V136" i="15"/>
  <c r="W136" i="15" s="1"/>
  <c r="T212" i="15"/>
  <c r="H569" i="15"/>
  <c r="AE350" i="15"/>
  <c r="AH350" i="15"/>
  <c r="Y89" i="15"/>
  <c r="Z89" i="15"/>
  <c r="AA89" i="15" s="1"/>
  <c r="Q206" i="15"/>
  <c r="R206" i="15"/>
  <c r="S206" i="15" s="1"/>
  <c r="Q205" i="15"/>
  <c r="R205" i="15"/>
  <c r="S205" i="15" s="1"/>
  <c r="U184" i="15"/>
  <c r="V184" i="15"/>
  <c r="W184" i="15" s="1"/>
  <c r="AE313" i="15"/>
  <c r="AH313" i="15"/>
  <c r="Q90" i="15"/>
  <c r="R90" i="15"/>
  <c r="S90" i="15" s="1"/>
  <c r="H92" i="15"/>
  <c r="G218" i="15"/>
  <c r="G451" i="15"/>
  <c r="G493" i="15" s="1"/>
  <c r="G134" i="15" s="1"/>
  <c r="P92" i="15"/>
  <c r="I447" i="15"/>
  <c r="I88" i="15" s="1"/>
  <c r="T204" i="15"/>
  <c r="H561" i="15"/>
  <c r="H571" i="15" s="1"/>
  <c r="H214" i="15" s="1"/>
  <c r="T214" i="15" s="1"/>
  <c r="T208" i="15"/>
  <c r="H565" i="15"/>
  <c r="Y80" i="15"/>
  <c r="Z80" i="15"/>
  <c r="AA80" i="15" s="1"/>
  <c r="V93" i="15"/>
  <c r="W93" i="15" s="1"/>
  <c r="U93" i="15"/>
  <c r="T262" i="15"/>
  <c r="H619" i="15"/>
  <c r="H638" i="15" s="1"/>
  <c r="H281" i="15" s="1"/>
  <c r="T281" i="15" s="1"/>
  <c r="V215" i="15"/>
  <c r="W215" i="15" s="1"/>
  <c r="U215" i="15"/>
  <c r="Y83" i="15"/>
  <c r="Z83" i="15"/>
  <c r="AA83" i="15" s="1"/>
  <c r="Q217" i="15"/>
  <c r="R217" i="15"/>
  <c r="S217" i="15" s="1"/>
  <c r="Y86" i="15"/>
  <c r="Z86" i="15"/>
  <c r="AA86" i="15" s="1"/>
  <c r="I618" i="15"/>
  <c r="X261" i="15"/>
  <c r="I542" i="15"/>
  <c r="X185" i="15"/>
  <c r="V261" i="15"/>
  <c r="W261" i="15" s="1"/>
  <c r="U261" i="15"/>
  <c r="K85" i="15"/>
  <c r="I211" i="15"/>
  <c r="AB85" i="15"/>
  <c r="J444" i="15"/>
  <c r="K89" i="15"/>
  <c r="J215" i="15"/>
  <c r="AB89" i="15"/>
  <c r="J448" i="15"/>
  <c r="X184" i="15"/>
  <c r="I541" i="15"/>
  <c r="Q208" i="15"/>
  <c r="R208" i="15"/>
  <c r="S208" i="15" s="1"/>
  <c r="Q219" i="15"/>
  <c r="R219" i="15"/>
  <c r="S219" i="15" s="1"/>
  <c r="R281" i="15"/>
  <c r="S281" i="15" s="1"/>
  <c r="Q281" i="15"/>
  <c r="H574" i="15"/>
  <c r="T217" i="15"/>
  <c r="H567" i="15"/>
  <c r="T210" i="15"/>
  <c r="AE312" i="15"/>
  <c r="AH312" i="15"/>
  <c r="Q210" i="15"/>
  <c r="R210" i="15"/>
  <c r="S210" i="15" s="1"/>
  <c r="P216" i="15"/>
  <c r="G573" i="15"/>
  <c r="T207" i="15"/>
  <c r="H564" i="15"/>
  <c r="S214" i="15"/>
  <c r="I127" i="20"/>
  <c r="I225" i="20" s="1"/>
  <c r="Y114" i="15"/>
  <c r="Z114" i="15"/>
  <c r="AA114" i="15" s="1"/>
  <c r="K114" i="15"/>
  <c r="AB114" i="15"/>
  <c r="J473" i="15"/>
  <c r="V88" i="15"/>
  <c r="S88" i="15"/>
  <c r="J128" i="20" s="1"/>
  <c r="J127" i="20"/>
  <c r="J225" i="20" s="1"/>
  <c r="Y87" i="15"/>
  <c r="Z87" i="15"/>
  <c r="AA87" i="15" s="1"/>
  <c r="K125" i="20"/>
  <c r="K150" i="20" s="1"/>
  <c r="U88" i="15"/>
  <c r="K126" i="20" s="1"/>
  <c r="K151" i="20" s="1"/>
  <c r="L124" i="20"/>
  <c r="X88" i="15"/>
  <c r="K87" i="15"/>
  <c r="J446" i="15"/>
  <c r="AB87" i="15"/>
  <c r="AP73" i="19"/>
  <c r="AS73" i="19"/>
  <c r="AT73" i="19" s="1"/>
  <c r="Z78" i="19"/>
  <c r="Z70" i="19"/>
  <c r="AD72" i="19"/>
  <c r="Z74" i="19"/>
  <c r="AS53" i="19"/>
  <c r="AT53" i="19" s="1"/>
  <c r="AD56" i="19"/>
  <c r="AD59" i="19"/>
  <c r="AK59" i="19"/>
  <c r="AD35" i="19"/>
  <c r="AD39" i="19"/>
  <c r="L120" i="19"/>
  <c r="AI120" i="19"/>
  <c r="AD133" i="19"/>
  <c r="Z140" i="19"/>
  <c r="AJ113" i="19"/>
  <c r="AK113" i="19"/>
  <c r="AL113" i="19" s="1"/>
  <c r="Z112" i="19"/>
  <c r="AS117" i="19"/>
  <c r="AT117" i="19" s="1"/>
  <c r="AM113" i="19"/>
  <c r="M113" i="19"/>
  <c r="AQ113" i="19" s="1"/>
  <c r="M111" i="19"/>
  <c r="AQ111" i="19" s="1"/>
  <c r="AM111" i="19"/>
  <c r="L119" i="19"/>
  <c r="AI119" i="19"/>
  <c r="AB112" i="19"/>
  <c r="AC112" i="19"/>
  <c r="AK109" i="19"/>
  <c r="AL109" i="19" s="1"/>
  <c r="AJ109" i="19"/>
  <c r="AD129" i="19"/>
  <c r="Z138" i="19"/>
  <c r="AD135" i="19"/>
  <c r="AK111" i="19"/>
  <c r="AL111" i="19" s="1"/>
  <c r="AJ111" i="19"/>
  <c r="M109" i="19"/>
  <c r="AQ109" i="19" s="1"/>
  <c r="AM109" i="19"/>
  <c r="AD110" i="19"/>
  <c r="AD116" i="19"/>
  <c r="AD131" i="19"/>
  <c r="AI112" i="19"/>
  <c r="L112" i="19"/>
  <c r="AB120" i="19"/>
  <c r="AC120" i="19"/>
  <c r="AC119" i="19"/>
  <c r="AB119" i="19"/>
  <c r="AD119" i="19" s="1"/>
  <c r="AB80" i="19"/>
  <c r="AC80" i="19"/>
  <c r="AD81" i="19"/>
  <c r="AD69" i="19"/>
  <c r="AS89" i="19"/>
  <c r="AT89" i="19" s="1"/>
  <c r="AD68" i="19"/>
  <c r="AB70" i="19"/>
  <c r="AC70" i="19"/>
  <c r="AB74" i="19"/>
  <c r="AD74" i="19" s="1"/>
  <c r="AC74" i="19"/>
  <c r="L70" i="19"/>
  <c r="AI70" i="19"/>
  <c r="AS101" i="19"/>
  <c r="AT101" i="19" s="1"/>
  <c r="AD98" i="19"/>
  <c r="AJ68" i="19"/>
  <c r="AK68" i="19"/>
  <c r="AL68" i="19" s="1"/>
  <c r="Z79" i="19"/>
  <c r="L74" i="19"/>
  <c r="AI74" i="19"/>
  <c r="AM72" i="19"/>
  <c r="M72" i="19"/>
  <c r="AQ72" i="19" s="1"/>
  <c r="L80" i="19"/>
  <c r="AI80" i="19"/>
  <c r="AB78" i="19"/>
  <c r="AC78" i="19"/>
  <c r="Z80" i="19"/>
  <c r="AB76" i="19"/>
  <c r="AC76" i="19"/>
  <c r="AI79" i="19"/>
  <c r="L79" i="19"/>
  <c r="AJ72" i="19"/>
  <c r="AK72" i="19"/>
  <c r="AL72" i="19" s="1"/>
  <c r="L78" i="19"/>
  <c r="AI78" i="19"/>
  <c r="AS100" i="19"/>
  <c r="AT100" i="19" s="1"/>
  <c r="M68" i="19"/>
  <c r="AQ68" i="19" s="1"/>
  <c r="AM68" i="19"/>
  <c r="L76" i="19"/>
  <c r="AI76" i="19"/>
  <c r="AC79" i="19"/>
  <c r="AB79" i="19"/>
  <c r="AD79" i="19" s="1"/>
  <c r="AK27" i="19"/>
  <c r="AL27" i="19" s="1"/>
  <c r="AJ27" i="19"/>
  <c r="M39" i="19"/>
  <c r="AQ39" i="19" s="1"/>
  <c r="AM39" i="19"/>
  <c r="M35" i="19"/>
  <c r="AQ35" i="19" s="1"/>
  <c r="AM35" i="19"/>
  <c r="AJ29" i="19"/>
  <c r="AK29" i="19"/>
  <c r="AL29" i="19" s="1"/>
  <c r="AD36" i="19"/>
  <c r="AD60" i="19"/>
  <c r="AD54" i="19"/>
  <c r="M37" i="19"/>
  <c r="AQ37" i="19" s="1"/>
  <c r="AM37" i="19"/>
  <c r="AK31" i="19"/>
  <c r="AL31" i="19" s="1"/>
  <c r="AJ31" i="19"/>
  <c r="AB55" i="19"/>
  <c r="AD55" i="19" s="1"/>
  <c r="AC55" i="19"/>
  <c r="AC34" i="19"/>
  <c r="AB34" i="19"/>
  <c r="AD34" i="19" s="1"/>
  <c r="AM29" i="19"/>
  <c r="M29" i="19"/>
  <c r="AQ29" i="19" s="1"/>
  <c r="L34" i="19"/>
  <c r="AI34" i="19"/>
  <c r="AK37" i="19"/>
  <c r="AL37" i="19" s="1"/>
  <c r="AJ37" i="19"/>
  <c r="Z55" i="19"/>
  <c r="AM31" i="19"/>
  <c r="M31" i="19"/>
  <c r="AQ31" i="19" s="1"/>
  <c r="L55" i="19"/>
  <c r="AI55" i="19"/>
  <c r="AD38" i="19"/>
  <c r="AS33" i="19"/>
  <c r="AT33" i="19" s="1"/>
  <c r="AD52" i="19"/>
  <c r="AD58" i="19"/>
  <c r="AS47" i="19"/>
  <c r="AT47" i="19" s="1"/>
  <c r="Z51" i="19"/>
  <c r="AD57" i="19"/>
  <c r="AM27" i="19"/>
  <c r="M27" i="19"/>
  <c r="AQ27" i="19" s="1"/>
  <c r="AK39" i="19"/>
  <c r="AL39" i="19" s="1"/>
  <c r="AJ39" i="19"/>
  <c r="AJ35" i="19"/>
  <c r="AK35" i="19"/>
  <c r="AL35" i="19" s="1"/>
  <c r="AD31" i="19"/>
  <c r="Z34" i="19"/>
  <c r="AI140" i="19"/>
  <c r="L140" i="19"/>
  <c r="AR137" i="19"/>
  <c r="L138" i="19"/>
  <c r="AI138" i="19"/>
  <c r="AB141" i="19"/>
  <c r="AD141" i="19" s="1"/>
  <c r="AC141" i="19"/>
  <c r="AK131" i="19"/>
  <c r="AL131" i="19" s="1"/>
  <c r="AJ131" i="19"/>
  <c r="AJ133" i="19"/>
  <c r="AK133" i="19"/>
  <c r="AL133" i="19" s="1"/>
  <c r="AC140" i="19"/>
  <c r="AB140" i="19"/>
  <c r="AD140" i="19" s="1"/>
  <c r="AK139" i="19"/>
  <c r="AL139" i="19" s="1"/>
  <c r="AJ139" i="19"/>
  <c r="AN137" i="19"/>
  <c r="AO137" i="19"/>
  <c r="AP137" i="19" s="1"/>
  <c r="AC138" i="19"/>
  <c r="AB138" i="19"/>
  <c r="L141" i="19"/>
  <c r="AI141" i="19"/>
  <c r="AM139" i="19"/>
  <c r="M139" i="19"/>
  <c r="AQ139" i="19" s="1"/>
  <c r="AR136" i="19"/>
  <c r="AS136" i="19"/>
  <c r="AT136" i="19" s="1"/>
  <c r="AJ135" i="19"/>
  <c r="AK135" i="19"/>
  <c r="AL135" i="19" s="1"/>
  <c r="M134" i="19"/>
  <c r="AQ134" i="19" s="1"/>
  <c r="AM134" i="19"/>
  <c r="M131" i="19"/>
  <c r="AQ131" i="19" s="1"/>
  <c r="AM131" i="19"/>
  <c r="AO136" i="19"/>
  <c r="AP136" i="19" s="1"/>
  <c r="AN136" i="19"/>
  <c r="AM135" i="19"/>
  <c r="M135" i="19"/>
  <c r="AQ135" i="19" s="1"/>
  <c r="AK134" i="19"/>
  <c r="AL134" i="19" s="1"/>
  <c r="AJ134" i="19"/>
  <c r="M133" i="19"/>
  <c r="AQ133" i="19" s="1"/>
  <c r="AM133" i="19"/>
  <c r="AK129" i="19"/>
  <c r="AL129" i="19" s="1"/>
  <c r="AJ129" i="19"/>
  <c r="AM129" i="19"/>
  <c r="M129" i="19"/>
  <c r="AQ129" i="19" s="1"/>
  <c r="M97" i="19"/>
  <c r="AQ97" i="19" s="1"/>
  <c r="AM97" i="19"/>
  <c r="AK90" i="19"/>
  <c r="AL90" i="19" s="1"/>
  <c r="AJ90" i="19"/>
  <c r="L96" i="19"/>
  <c r="AI96" i="19"/>
  <c r="M98" i="19"/>
  <c r="AQ98" i="19" s="1"/>
  <c r="AM98" i="19"/>
  <c r="AK98" i="19"/>
  <c r="AL98" i="19" s="1"/>
  <c r="AJ98" i="19"/>
  <c r="AJ97" i="19"/>
  <c r="AK97" i="19"/>
  <c r="AL97" i="19" s="1"/>
  <c r="AM90" i="19"/>
  <c r="M90" i="19"/>
  <c r="AQ90" i="19" s="1"/>
  <c r="AB96" i="19"/>
  <c r="AC96" i="19"/>
  <c r="AB88" i="19"/>
  <c r="AC88" i="19"/>
  <c r="AI88" i="19"/>
  <c r="L88" i="19"/>
  <c r="AB51" i="19"/>
  <c r="AC51" i="19"/>
  <c r="AJ57" i="19"/>
  <c r="AK57" i="19"/>
  <c r="AL57" i="19" s="1"/>
  <c r="AJ49" i="19"/>
  <c r="AK49" i="19"/>
  <c r="AL49" i="19" s="1"/>
  <c r="L51" i="19"/>
  <c r="AI51" i="19"/>
  <c r="AM57" i="19"/>
  <c r="M57" i="19"/>
  <c r="AQ57" i="19" s="1"/>
  <c r="M49" i="19"/>
  <c r="AQ49" i="19" s="1"/>
  <c r="AM49" i="19"/>
  <c r="AE399" i="15"/>
  <c r="AH399" i="15"/>
  <c r="AH400" i="15"/>
  <c r="AE400" i="15"/>
  <c r="AO142" i="19"/>
  <c r="AP142" i="19" s="1"/>
  <c r="AN142" i="19"/>
  <c r="AR132" i="19"/>
  <c r="AR142" i="19"/>
  <c r="AS142" i="19"/>
  <c r="AT142" i="19" s="1"/>
  <c r="AO132" i="19"/>
  <c r="AP132" i="19" s="1"/>
  <c r="AN132" i="19"/>
  <c r="AR130" i="19"/>
  <c r="AO130" i="19"/>
  <c r="AP130" i="19" s="1"/>
  <c r="AN130" i="19"/>
  <c r="M116" i="19"/>
  <c r="AQ116" i="19" s="1"/>
  <c r="AM116" i="19"/>
  <c r="AR118" i="19"/>
  <c r="AK116" i="19"/>
  <c r="AL116" i="19" s="1"/>
  <c r="AJ116" i="19"/>
  <c r="AO118" i="19"/>
  <c r="AP118" i="19" s="1"/>
  <c r="AN118" i="19"/>
  <c r="AR115" i="19"/>
  <c r="M110" i="19"/>
  <c r="AQ110" i="19" s="1"/>
  <c r="AM110" i="19"/>
  <c r="AK122" i="19"/>
  <c r="AL122" i="19" s="1"/>
  <c r="AJ122" i="19"/>
  <c r="AN115" i="19"/>
  <c r="AO115" i="19"/>
  <c r="AP115" i="19" s="1"/>
  <c r="AJ110" i="19"/>
  <c r="AK110" i="19"/>
  <c r="AL110" i="19" s="1"/>
  <c r="AM122" i="19"/>
  <c r="M122" i="19"/>
  <c r="AQ122" i="19" s="1"/>
  <c r="AN94" i="19"/>
  <c r="AO94" i="19"/>
  <c r="AP94" i="19" s="1"/>
  <c r="AR93" i="19"/>
  <c r="AR95" i="19"/>
  <c r="AS95" i="19"/>
  <c r="AT95" i="19" s="1"/>
  <c r="AN93" i="19"/>
  <c r="AO93" i="19"/>
  <c r="AP93" i="19" s="1"/>
  <c r="AO99" i="19"/>
  <c r="AP99" i="19" s="1"/>
  <c r="AN99" i="19"/>
  <c r="AR99" i="19"/>
  <c r="AS99" i="19"/>
  <c r="AT99" i="19" s="1"/>
  <c r="AR94" i="19"/>
  <c r="AO95" i="19"/>
  <c r="AP95" i="19" s="1"/>
  <c r="AN95" i="19"/>
  <c r="AM69" i="19"/>
  <c r="M69" i="19"/>
  <c r="AQ69" i="19" s="1"/>
  <c r="M81" i="19"/>
  <c r="AQ81" i="19" s="1"/>
  <c r="AM81" i="19"/>
  <c r="AJ75" i="19"/>
  <c r="AK75" i="19"/>
  <c r="AL75" i="19" s="1"/>
  <c r="AR71" i="19"/>
  <c r="AN71" i="19"/>
  <c r="AO71" i="19"/>
  <c r="AP71" i="19" s="1"/>
  <c r="AJ69" i="19"/>
  <c r="AK69" i="19"/>
  <c r="AL69" i="19" s="1"/>
  <c r="AJ81" i="19"/>
  <c r="AK81" i="19"/>
  <c r="AL81" i="19" s="1"/>
  <c r="AM75" i="19"/>
  <c r="M75" i="19"/>
  <c r="AQ75" i="19" s="1"/>
  <c r="M58" i="19"/>
  <c r="AQ58" i="19" s="1"/>
  <c r="AM58" i="19"/>
  <c r="M54" i="19"/>
  <c r="AQ54" i="19" s="1"/>
  <c r="AM54" i="19"/>
  <c r="AO48" i="19"/>
  <c r="AP48" i="19" s="1"/>
  <c r="AN48" i="19"/>
  <c r="M52" i="19"/>
  <c r="AQ52" i="19" s="1"/>
  <c r="AM52" i="19"/>
  <c r="AK58" i="19"/>
  <c r="AL58" i="19" s="1"/>
  <c r="AJ58" i="19"/>
  <c r="AR48" i="19"/>
  <c r="AM50" i="19"/>
  <c r="M50" i="19"/>
  <c r="AQ50" i="19" s="1"/>
  <c r="M60" i="19"/>
  <c r="AQ60" i="19" s="1"/>
  <c r="AM60" i="19"/>
  <c r="M56" i="19"/>
  <c r="AQ56" i="19" s="1"/>
  <c r="AM56" i="19"/>
  <c r="AK52" i="19"/>
  <c r="AL52" i="19" s="1"/>
  <c r="AJ52" i="19"/>
  <c r="AJ54" i="19"/>
  <c r="AK54" i="19"/>
  <c r="AL54" i="19" s="1"/>
  <c r="AJ50" i="19"/>
  <c r="AK50" i="19"/>
  <c r="AL50" i="19" s="1"/>
  <c r="AJ60" i="19"/>
  <c r="AK60" i="19"/>
  <c r="AL60" i="19" s="1"/>
  <c r="AK56" i="19"/>
  <c r="AL56" i="19" s="1"/>
  <c r="AJ56" i="19"/>
  <c r="AN32" i="19"/>
  <c r="AO32" i="19"/>
  <c r="AP32" i="19" s="1"/>
  <c r="AN40" i="19"/>
  <c r="AO40" i="19"/>
  <c r="AP40" i="19" s="1"/>
  <c r="M28" i="19"/>
  <c r="AQ28" i="19" s="1"/>
  <c r="AM28" i="19"/>
  <c r="M30" i="19"/>
  <c r="AQ30" i="19" s="1"/>
  <c r="AM30" i="19"/>
  <c r="M36" i="19"/>
  <c r="AQ36" i="19" s="1"/>
  <c r="AM36" i="19"/>
  <c r="AR32" i="19"/>
  <c r="AS40" i="19"/>
  <c r="AT40" i="19" s="1"/>
  <c r="AR40" i="19"/>
  <c r="AJ28" i="19"/>
  <c r="AK28" i="19"/>
  <c r="AL28" i="19" s="1"/>
  <c r="AK30" i="19"/>
  <c r="AL30" i="19" s="1"/>
  <c r="AJ30" i="19"/>
  <c r="AK36" i="19"/>
  <c r="AL36" i="19" s="1"/>
  <c r="AJ36" i="19"/>
  <c r="AK38" i="19"/>
  <c r="AL38" i="19" s="1"/>
  <c r="AJ38" i="19"/>
  <c r="M38" i="19"/>
  <c r="AQ38" i="19" s="1"/>
  <c r="AM38" i="19"/>
  <c r="I53" i="20"/>
  <c r="I130" i="20"/>
  <c r="N134" i="15"/>
  <c r="J36" i="20"/>
  <c r="J243" i="20"/>
  <c r="H46" i="13"/>
  <c r="J38" i="20" s="1"/>
  <c r="F47" i="13"/>
  <c r="J20" i="20"/>
  <c r="I55" i="20"/>
  <c r="I75" i="20"/>
  <c r="G84" i="13"/>
  <c r="O71" i="13"/>
  <c r="F71" i="13"/>
  <c r="AI115" i="15" l="1"/>
  <c r="AL115" i="15"/>
  <c r="AM115" i="15" s="1"/>
  <c r="J130" i="20"/>
  <c r="P134" i="15"/>
  <c r="R134" i="15" s="1"/>
  <c r="V281" i="15"/>
  <c r="W281" i="15" s="1"/>
  <c r="U281" i="15"/>
  <c r="U214" i="15"/>
  <c r="V214" i="15"/>
  <c r="AI312" i="15"/>
  <c r="AL312" i="15"/>
  <c r="AM312" i="15" s="1"/>
  <c r="U217" i="15"/>
  <c r="V217" i="15"/>
  <c r="W217" i="15" s="1"/>
  <c r="AB215" i="15"/>
  <c r="J572" i="15"/>
  <c r="X211" i="15"/>
  <c r="I568" i="15"/>
  <c r="L78" i="15"/>
  <c r="J204" i="15"/>
  <c r="AF78" i="15"/>
  <c r="K437" i="15"/>
  <c r="U211" i="15"/>
  <c r="V211" i="15"/>
  <c r="W211" i="15" s="1"/>
  <c r="L86" i="15"/>
  <c r="J212" i="15"/>
  <c r="K445" i="15"/>
  <c r="AF86" i="15"/>
  <c r="K93" i="15"/>
  <c r="J219" i="15"/>
  <c r="AB93" i="15"/>
  <c r="J452" i="15"/>
  <c r="U90" i="15"/>
  <c r="V90" i="15"/>
  <c r="W90" i="15" s="1"/>
  <c r="L59" i="15"/>
  <c r="K185" i="15"/>
  <c r="K418" i="15"/>
  <c r="AF59" i="15"/>
  <c r="I565" i="15"/>
  <c r="X208" i="15"/>
  <c r="R216" i="15"/>
  <c r="S216" i="15" s="1"/>
  <c r="Q216" i="15"/>
  <c r="Y184" i="15"/>
  <c r="Z184" i="15"/>
  <c r="AA184" i="15" s="1"/>
  <c r="L85" i="15"/>
  <c r="J211" i="15"/>
  <c r="K444" i="15"/>
  <c r="AF85" i="15"/>
  <c r="U262" i="15"/>
  <c r="V262" i="15"/>
  <c r="W262" i="15" s="1"/>
  <c r="V204" i="15"/>
  <c r="W204" i="15" s="1"/>
  <c r="U204" i="15"/>
  <c r="P218" i="15"/>
  <c r="G575" i="15"/>
  <c r="G617" i="15" s="1"/>
  <c r="G260" i="15" s="1"/>
  <c r="P260" i="15" s="1"/>
  <c r="AI313" i="15"/>
  <c r="AL313" i="15"/>
  <c r="AM313" i="15" s="1"/>
  <c r="V206" i="15"/>
  <c r="W206" i="15" s="1"/>
  <c r="U206" i="15"/>
  <c r="X217" i="15"/>
  <c r="I574" i="15"/>
  <c r="AC78" i="15"/>
  <c r="AD78" i="15"/>
  <c r="AE78" i="15" s="1"/>
  <c r="AC58" i="15"/>
  <c r="AD58" i="15"/>
  <c r="AE58" i="15" s="1"/>
  <c r="AL345" i="15"/>
  <c r="AM345" i="15" s="1"/>
  <c r="AI345" i="15"/>
  <c r="Y93" i="15"/>
  <c r="Z93" i="15"/>
  <c r="AA93" i="15" s="1"/>
  <c r="S155" i="15"/>
  <c r="J140" i="20" s="1"/>
  <c r="J139" i="20"/>
  <c r="J227" i="20" s="1"/>
  <c r="AL374" i="15"/>
  <c r="AM374" i="15" s="1"/>
  <c r="AI374" i="15"/>
  <c r="U219" i="15"/>
  <c r="V219" i="15"/>
  <c r="W219" i="15" s="1"/>
  <c r="I564" i="15"/>
  <c r="X207" i="15"/>
  <c r="T216" i="15"/>
  <c r="H573" i="15"/>
  <c r="X210" i="15"/>
  <c r="I567" i="15"/>
  <c r="V155" i="15"/>
  <c r="U155" i="15"/>
  <c r="K138" i="20" s="1"/>
  <c r="K157" i="20" s="1"/>
  <c r="K137" i="20"/>
  <c r="K156" i="20" s="1"/>
  <c r="AC59" i="15"/>
  <c r="AD59" i="15"/>
  <c r="AE59" i="15" s="1"/>
  <c r="Y136" i="15"/>
  <c r="Z136" i="15"/>
  <c r="AA136" i="15" s="1"/>
  <c r="L82" i="15"/>
  <c r="J208" i="15"/>
  <c r="K441" i="15"/>
  <c r="AF82" i="15"/>
  <c r="J447" i="15"/>
  <c r="J88" i="15" s="1"/>
  <c r="M124" i="20" s="1"/>
  <c r="U210" i="15"/>
  <c r="V210" i="15"/>
  <c r="W210" i="15" s="1"/>
  <c r="Z261" i="15"/>
  <c r="AA261" i="15" s="1"/>
  <c r="Y261" i="15"/>
  <c r="I92" i="15"/>
  <c r="H218" i="15"/>
  <c r="T92" i="15"/>
  <c r="H451" i="15"/>
  <c r="U212" i="15"/>
  <c r="V212" i="15"/>
  <c r="W212" i="15" s="1"/>
  <c r="K91" i="15"/>
  <c r="J217" i="15"/>
  <c r="J450" i="15"/>
  <c r="AB91" i="15"/>
  <c r="Y215" i="15"/>
  <c r="Z215" i="15"/>
  <c r="AA215" i="15" s="1"/>
  <c r="AI373" i="15"/>
  <c r="AL373" i="15"/>
  <c r="AM373" i="15" s="1"/>
  <c r="AC86" i="15"/>
  <c r="AD86" i="15"/>
  <c r="AE86" i="15" s="1"/>
  <c r="AC79" i="15"/>
  <c r="AD79" i="15"/>
  <c r="AE79" i="15" s="1"/>
  <c r="AC83" i="15"/>
  <c r="AD83" i="15"/>
  <c r="AE83" i="15" s="1"/>
  <c r="AC80" i="15"/>
  <c r="AD80" i="15"/>
  <c r="AE80" i="15" s="1"/>
  <c r="AI379" i="15"/>
  <c r="AL379" i="15"/>
  <c r="AM379" i="15" s="1"/>
  <c r="U205" i="15"/>
  <c r="V205" i="15"/>
  <c r="W205" i="15" s="1"/>
  <c r="L81" i="15"/>
  <c r="J207" i="15"/>
  <c r="AF81" i="15"/>
  <c r="K440" i="15"/>
  <c r="J90" i="15"/>
  <c r="I216" i="15"/>
  <c r="I449" i="15"/>
  <c r="X90" i="15"/>
  <c r="L84" i="15"/>
  <c r="J210" i="15"/>
  <c r="AF84" i="15"/>
  <c r="K443" i="15"/>
  <c r="AC135" i="15"/>
  <c r="AD135" i="15"/>
  <c r="AE135" i="15" s="1"/>
  <c r="X155" i="15"/>
  <c r="L136" i="20"/>
  <c r="Y185" i="15"/>
  <c r="Z185" i="15"/>
  <c r="AA185" i="15" s="1"/>
  <c r="L58" i="15"/>
  <c r="K184" i="15"/>
  <c r="AF58" i="15"/>
  <c r="K417" i="15"/>
  <c r="L79" i="15"/>
  <c r="J205" i="15"/>
  <c r="K438" i="15"/>
  <c r="AF79" i="15"/>
  <c r="L83" i="15"/>
  <c r="J209" i="15"/>
  <c r="K442" i="15"/>
  <c r="AF83" i="15"/>
  <c r="L80" i="15"/>
  <c r="J206" i="15"/>
  <c r="AF80" i="15"/>
  <c r="K439" i="15"/>
  <c r="U209" i="15"/>
  <c r="V209" i="15"/>
  <c r="W209" i="15" s="1"/>
  <c r="AC81" i="15"/>
  <c r="AD81" i="15"/>
  <c r="AE81" i="15" s="1"/>
  <c r="L135" i="15"/>
  <c r="K261" i="15"/>
  <c r="AF135" i="15"/>
  <c r="K494" i="15"/>
  <c r="K136" i="15"/>
  <c r="J262" i="15"/>
  <c r="J495" i="15"/>
  <c r="J514" i="15" s="1"/>
  <c r="J155" i="15" s="1"/>
  <c r="AB136" i="15"/>
  <c r="L89" i="15"/>
  <c r="K215" i="15"/>
  <c r="AF89" i="15"/>
  <c r="K448" i="15"/>
  <c r="U207" i="15"/>
  <c r="V207" i="15"/>
  <c r="W207" i="15" s="1"/>
  <c r="AC89" i="15"/>
  <c r="AD89" i="15"/>
  <c r="AE89" i="15" s="1"/>
  <c r="AC85" i="15"/>
  <c r="AD85" i="15"/>
  <c r="AE85" i="15" s="1"/>
  <c r="V208" i="15"/>
  <c r="W208" i="15" s="1"/>
  <c r="U208" i="15"/>
  <c r="Q92" i="15"/>
  <c r="R92" i="15"/>
  <c r="S92" i="15" s="1"/>
  <c r="AI350" i="15"/>
  <c r="AL350" i="15"/>
  <c r="AM350" i="15" s="1"/>
  <c r="Y91" i="15"/>
  <c r="Z91" i="15"/>
  <c r="AA91" i="15" s="1"/>
  <c r="X204" i="15"/>
  <c r="I561" i="15"/>
  <c r="I571" i="15" s="1"/>
  <c r="I214" i="15" s="1"/>
  <c r="X214" i="15" s="1"/>
  <c r="AB184" i="15"/>
  <c r="J541" i="15"/>
  <c r="X212" i="15"/>
  <c r="I569" i="15"/>
  <c r="X205" i="15"/>
  <c r="I562" i="15"/>
  <c r="I566" i="15"/>
  <c r="X209" i="15"/>
  <c r="I576" i="15"/>
  <c r="X219" i="15"/>
  <c r="I563" i="15"/>
  <c r="X206" i="15"/>
  <c r="H493" i="15"/>
  <c r="H134" i="15" s="1"/>
  <c r="AC84" i="15"/>
  <c r="AD84" i="15"/>
  <c r="AE84" i="15" s="1"/>
  <c r="AB185" i="15"/>
  <c r="J542" i="15"/>
  <c r="J618" i="15"/>
  <c r="AB261" i="15"/>
  <c r="X262" i="15"/>
  <c r="I619" i="15"/>
  <c r="I638" i="15" s="1"/>
  <c r="I281" i="15" s="1"/>
  <c r="X281" i="15" s="1"/>
  <c r="AC82" i="15"/>
  <c r="AD82" i="15"/>
  <c r="AE82" i="15" s="1"/>
  <c r="W214" i="15"/>
  <c r="L114" i="15"/>
  <c r="AF114" i="15"/>
  <c r="K473" i="15"/>
  <c r="AC114" i="15"/>
  <c r="AD114" i="15"/>
  <c r="AE114" i="15" s="1"/>
  <c r="Y88" i="15"/>
  <c r="L126" i="20" s="1"/>
  <c r="L151" i="20" s="1"/>
  <c r="L125" i="20"/>
  <c r="L150" i="20" s="1"/>
  <c r="AC87" i="15"/>
  <c r="AD87" i="15"/>
  <c r="AE87" i="15" s="1"/>
  <c r="L87" i="15"/>
  <c r="AF87" i="15"/>
  <c r="K446" i="15"/>
  <c r="Z88" i="15"/>
  <c r="K127" i="20"/>
  <c r="K225" i="20" s="1"/>
  <c r="W88" i="15"/>
  <c r="K128" i="20" s="1"/>
  <c r="AD76" i="19"/>
  <c r="AD70" i="19"/>
  <c r="AL59" i="19"/>
  <c r="AO59" i="19"/>
  <c r="AS48" i="19"/>
  <c r="AT48" i="19" s="1"/>
  <c r="AR109" i="19"/>
  <c r="AN111" i="19"/>
  <c r="AO111" i="19"/>
  <c r="AP111" i="19" s="1"/>
  <c r="AD120" i="19"/>
  <c r="AD112" i="19"/>
  <c r="AR111" i="19"/>
  <c r="AM112" i="19"/>
  <c r="M112" i="19"/>
  <c r="AQ112" i="19" s="1"/>
  <c r="AK119" i="19"/>
  <c r="AL119" i="19" s="1"/>
  <c r="AJ119" i="19"/>
  <c r="AR113" i="19"/>
  <c r="AJ120" i="19"/>
  <c r="AK120" i="19"/>
  <c r="AL120" i="19" s="1"/>
  <c r="AS115" i="19"/>
  <c r="AT115" i="19" s="1"/>
  <c r="AS130" i="19"/>
  <c r="AT130" i="19" s="1"/>
  <c r="AS118" i="19"/>
  <c r="AT118" i="19" s="1"/>
  <c r="AS132" i="19"/>
  <c r="AT132" i="19" s="1"/>
  <c r="AD138" i="19"/>
  <c r="AS137" i="19"/>
  <c r="AT137" i="19" s="1"/>
  <c r="AK112" i="19"/>
  <c r="AL112" i="19" s="1"/>
  <c r="AJ112" i="19"/>
  <c r="AO109" i="19"/>
  <c r="AP109" i="19" s="1"/>
  <c r="AN109" i="19"/>
  <c r="M119" i="19"/>
  <c r="AQ119" i="19" s="1"/>
  <c r="AM119" i="19"/>
  <c r="AN113" i="19"/>
  <c r="AO113" i="19"/>
  <c r="AP113" i="19" s="1"/>
  <c r="AM120" i="19"/>
  <c r="M120" i="19"/>
  <c r="AQ120" i="19" s="1"/>
  <c r="AS71" i="19"/>
  <c r="AT71" i="19" s="1"/>
  <c r="AS94" i="19"/>
  <c r="AT94" i="19" s="1"/>
  <c r="AD88" i="19"/>
  <c r="AR68" i="19"/>
  <c r="AD78" i="19"/>
  <c r="AO72" i="19"/>
  <c r="AP72" i="19" s="1"/>
  <c r="AN72" i="19"/>
  <c r="AJ70" i="19"/>
  <c r="AK70" i="19"/>
  <c r="AL70" i="19" s="1"/>
  <c r="AK80" i="19"/>
  <c r="AL80" i="19" s="1"/>
  <c r="AJ80" i="19"/>
  <c r="AK74" i="19"/>
  <c r="AL74" i="19" s="1"/>
  <c r="AJ74" i="19"/>
  <c r="AM70" i="19"/>
  <c r="M70" i="19"/>
  <c r="AQ70" i="19" s="1"/>
  <c r="AK76" i="19"/>
  <c r="AL76" i="19" s="1"/>
  <c r="AJ76" i="19"/>
  <c r="AS93" i="19"/>
  <c r="AT93" i="19" s="1"/>
  <c r="AD96" i="19"/>
  <c r="M76" i="19"/>
  <c r="AQ76" i="19" s="1"/>
  <c r="AM76" i="19"/>
  <c r="AK78" i="19"/>
  <c r="AL78" i="19" s="1"/>
  <c r="AJ78" i="19"/>
  <c r="M79" i="19"/>
  <c r="AQ79" i="19" s="1"/>
  <c r="AM79" i="19"/>
  <c r="AM80" i="19"/>
  <c r="M80" i="19"/>
  <c r="AQ80" i="19" s="1"/>
  <c r="M74" i="19"/>
  <c r="AQ74" i="19" s="1"/>
  <c r="AM74" i="19"/>
  <c r="AO68" i="19"/>
  <c r="AP68" i="19" s="1"/>
  <c r="AN68" i="19"/>
  <c r="AM78" i="19"/>
  <c r="M78" i="19"/>
  <c r="AQ78" i="19" s="1"/>
  <c r="AJ79" i="19"/>
  <c r="AK79" i="19"/>
  <c r="AL79" i="19" s="1"/>
  <c r="AR72" i="19"/>
  <c r="AD80" i="19"/>
  <c r="AR27" i="19"/>
  <c r="AD51" i="19"/>
  <c r="AN27" i="19"/>
  <c r="AO27" i="19"/>
  <c r="AP27" i="19" s="1"/>
  <c r="AO31" i="19"/>
  <c r="AP31" i="19" s="1"/>
  <c r="AN31" i="19"/>
  <c r="AJ34" i="19"/>
  <c r="AK34" i="19"/>
  <c r="AL34" i="19" s="1"/>
  <c r="AR39" i="19"/>
  <c r="AO29" i="19"/>
  <c r="AP29" i="19" s="1"/>
  <c r="AN29" i="19"/>
  <c r="AR37" i="19"/>
  <c r="AK55" i="19"/>
  <c r="AL55" i="19" s="1"/>
  <c r="AJ55" i="19"/>
  <c r="M34" i="19"/>
  <c r="AQ34" i="19" s="1"/>
  <c r="AM34" i="19"/>
  <c r="AO35" i="19"/>
  <c r="AP35" i="19" s="1"/>
  <c r="AN35" i="19"/>
  <c r="AR31" i="19"/>
  <c r="AN39" i="19"/>
  <c r="AO39" i="19"/>
  <c r="AP39" i="19" s="1"/>
  <c r="AS32" i="19"/>
  <c r="AT32" i="19" s="1"/>
  <c r="AM55" i="19"/>
  <c r="M55" i="19"/>
  <c r="AQ55" i="19" s="1"/>
  <c r="AR29" i="19"/>
  <c r="AO37" i="19"/>
  <c r="AP37" i="19" s="1"/>
  <c r="AN37" i="19"/>
  <c r="AR35" i="19"/>
  <c r="AR133" i="19"/>
  <c r="AS133" i="19"/>
  <c r="AT133" i="19" s="1"/>
  <c r="AO135" i="19"/>
  <c r="AP135" i="19" s="1"/>
  <c r="AN135" i="19"/>
  <c r="AK141" i="19"/>
  <c r="AL141" i="19" s="1"/>
  <c r="AJ141" i="19"/>
  <c r="AN133" i="19"/>
  <c r="AO133" i="19"/>
  <c r="AP133" i="19" s="1"/>
  <c r="AR135" i="19"/>
  <c r="AS135" i="19"/>
  <c r="AT135" i="19" s="1"/>
  <c r="AN131" i="19"/>
  <c r="AO131" i="19"/>
  <c r="AP131" i="19" s="1"/>
  <c r="AR139" i="19"/>
  <c r="AR131" i="19"/>
  <c r="AN139" i="19"/>
  <c r="AO139" i="19"/>
  <c r="AP139" i="19" s="1"/>
  <c r="AO134" i="19"/>
  <c r="AP134" i="19" s="1"/>
  <c r="AN134" i="19"/>
  <c r="AK138" i="19"/>
  <c r="AL138" i="19" s="1"/>
  <c r="AJ138" i="19"/>
  <c r="AM140" i="19"/>
  <c r="M140" i="19"/>
  <c r="AQ140" i="19" s="1"/>
  <c r="AR134" i="19"/>
  <c r="AS134" i="19"/>
  <c r="AT134" i="19" s="1"/>
  <c r="AM141" i="19"/>
  <c r="M141" i="19"/>
  <c r="AQ141" i="19" s="1"/>
  <c r="M138" i="19"/>
  <c r="AQ138" i="19" s="1"/>
  <c r="AM138" i="19"/>
  <c r="AJ140" i="19"/>
  <c r="AK140" i="19"/>
  <c r="AL140" i="19" s="1"/>
  <c r="AR129" i="19"/>
  <c r="AN129" i="19"/>
  <c r="AO129" i="19"/>
  <c r="AP129" i="19" s="1"/>
  <c r="AR98" i="19"/>
  <c r="AR90" i="19"/>
  <c r="AJ96" i="19"/>
  <c r="AK96" i="19"/>
  <c r="AL96" i="19" s="1"/>
  <c r="AO97" i="19"/>
  <c r="AP97" i="19" s="1"/>
  <c r="AN97" i="19"/>
  <c r="AN98" i="19"/>
  <c r="AO98" i="19"/>
  <c r="AP98" i="19" s="1"/>
  <c r="AN90" i="19"/>
  <c r="AO90" i="19"/>
  <c r="AP90" i="19" s="1"/>
  <c r="AM96" i="19"/>
  <c r="M96" i="19"/>
  <c r="AQ96" i="19" s="1"/>
  <c r="AS97" i="19"/>
  <c r="AT97" i="19" s="1"/>
  <c r="AR97" i="19"/>
  <c r="AK88" i="19"/>
  <c r="AL88" i="19" s="1"/>
  <c r="AJ88" i="19"/>
  <c r="M88" i="19"/>
  <c r="AQ88" i="19" s="1"/>
  <c r="AM88" i="19"/>
  <c r="AO49" i="19"/>
  <c r="AP49" i="19" s="1"/>
  <c r="AN49" i="19"/>
  <c r="AR49" i="19"/>
  <c r="M51" i="19"/>
  <c r="AQ51" i="19" s="1"/>
  <c r="AM51" i="19"/>
  <c r="AK51" i="19"/>
  <c r="AL51" i="19" s="1"/>
  <c r="AJ51" i="19"/>
  <c r="AR57" i="19"/>
  <c r="AS57" i="19"/>
  <c r="AT57" i="19" s="1"/>
  <c r="AO57" i="19"/>
  <c r="AP57" i="19" s="1"/>
  <c r="AN57" i="19"/>
  <c r="AI400" i="15"/>
  <c r="AL400" i="15"/>
  <c r="AM400" i="15" s="1"/>
  <c r="AL399" i="15"/>
  <c r="AM399" i="15" s="1"/>
  <c r="AI399" i="15"/>
  <c r="AO122" i="19"/>
  <c r="AP122" i="19" s="1"/>
  <c r="AN122" i="19"/>
  <c r="AR110" i="19"/>
  <c r="AS110" i="19"/>
  <c r="AT110" i="19" s="1"/>
  <c r="AN116" i="19"/>
  <c r="AO116" i="19"/>
  <c r="AP116" i="19" s="1"/>
  <c r="AR122" i="19"/>
  <c r="AN110" i="19"/>
  <c r="AO110" i="19"/>
  <c r="AP110" i="19" s="1"/>
  <c r="AS116" i="19"/>
  <c r="AT116" i="19" s="1"/>
  <c r="AR116" i="19"/>
  <c r="AO75" i="19"/>
  <c r="AP75" i="19" s="1"/>
  <c r="AN75" i="19"/>
  <c r="AO69" i="19"/>
  <c r="AP69" i="19" s="1"/>
  <c r="AN69" i="19"/>
  <c r="AN81" i="19"/>
  <c r="AO81" i="19"/>
  <c r="AP81" i="19" s="1"/>
  <c r="AS75" i="19"/>
  <c r="AT75" i="19" s="1"/>
  <c r="AR75" i="19"/>
  <c r="AR69" i="19"/>
  <c r="AR81" i="19"/>
  <c r="AS81" i="19"/>
  <c r="AT81" i="19" s="1"/>
  <c r="AN60" i="19"/>
  <c r="AO60" i="19"/>
  <c r="AP60" i="19" s="1"/>
  <c r="AN52" i="19"/>
  <c r="AO52" i="19"/>
  <c r="AP52" i="19" s="1"/>
  <c r="AO54" i="19"/>
  <c r="AP54" i="19" s="1"/>
  <c r="AN54" i="19"/>
  <c r="AR60" i="19"/>
  <c r="AS52" i="19"/>
  <c r="AT52" i="19" s="1"/>
  <c r="AR52" i="19"/>
  <c r="AR54" i="19"/>
  <c r="AN56" i="19"/>
  <c r="AO56" i="19"/>
  <c r="AP56" i="19" s="1"/>
  <c r="AR50" i="19"/>
  <c r="AO58" i="19"/>
  <c r="AP58" i="19" s="1"/>
  <c r="AN58" i="19"/>
  <c r="AR56" i="19"/>
  <c r="AO50" i="19"/>
  <c r="AP50" i="19" s="1"/>
  <c r="AN50" i="19"/>
  <c r="AR58" i="19"/>
  <c r="AO30" i="19"/>
  <c r="AP30" i="19" s="1"/>
  <c r="AN30" i="19"/>
  <c r="AO38" i="19"/>
  <c r="AP38" i="19" s="1"/>
  <c r="AN38" i="19"/>
  <c r="AN36" i="19"/>
  <c r="AO36" i="19"/>
  <c r="AP36" i="19" s="1"/>
  <c r="AO28" i="19"/>
  <c r="AP28" i="19" s="1"/>
  <c r="AN28" i="19"/>
  <c r="AS30" i="19"/>
  <c r="AT30" i="19" s="1"/>
  <c r="AR30" i="19"/>
  <c r="AR38" i="19"/>
  <c r="AS38" i="19"/>
  <c r="AT38" i="19" s="1"/>
  <c r="AR36" i="19"/>
  <c r="AS36" i="19"/>
  <c r="AT36" i="19" s="1"/>
  <c r="AR28" i="19"/>
  <c r="AS28" i="19"/>
  <c r="AT28" i="19" s="1"/>
  <c r="I131" i="20"/>
  <c r="O134" i="15"/>
  <c r="I132" i="20" s="1"/>
  <c r="H71" i="13"/>
  <c r="J71" i="13" s="1"/>
  <c r="M71" i="13"/>
  <c r="I50" i="20"/>
  <c r="J249" i="20"/>
  <c r="J55" i="20"/>
  <c r="J75" i="20"/>
  <c r="K36" i="20"/>
  <c r="H47" i="13"/>
  <c r="K38" i="20" s="1"/>
  <c r="K20" i="20"/>
  <c r="K243" i="20"/>
  <c r="F48" i="13"/>
  <c r="S134" i="15" l="1"/>
  <c r="J134" i="20" s="1"/>
  <c r="J133" i="20"/>
  <c r="J226" i="20" s="1"/>
  <c r="Y214" i="15"/>
  <c r="Z214" i="15"/>
  <c r="AB155" i="15"/>
  <c r="M136" i="20"/>
  <c r="Y281" i="15"/>
  <c r="Z281" i="15"/>
  <c r="AA281" i="15" s="1"/>
  <c r="Q260" i="15"/>
  <c r="R260" i="15"/>
  <c r="S260" i="15" s="1"/>
  <c r="Z205" i="15"/>
  <c r="AA205" i="15" s="1"/>
  <c r="Y205" i="15"/>
  <c r="AG89" i="15"/>
  <c r="AH89" i="15"/>
  <c r="AI89" i="15" s="1"/>
  <c r="Y217" i="15"/>
  <c r="Z217" i="15"/>
  <c r="AA217" i="15" s="1"/>
  <c r="L185" i="15"/>
  <c r="AJ59" i="15"/>
  <c r="L418" i="15"/>
  <c r="K204" i="15"/>
  <c r="AJ78" i="15"/>
  <c r="L437" i="15"/>
  <c r="AC185" i="15"/>
  <c r="AD185" i="15"/>
  <c r="AE185" i="15" s="1"/>
  <c r="Y209" i="15"/>
  <c r="Z209" i="15"/>
  <c r="AA209" i="15" s="1"/>
  <c r="K572" i="15"/>
  <c r="AF215" i="15"/>
  <c r="J566" i="15"/>
  <c r="AB209" i="15"/>
  <c r="AF184" i="15"/>
  <c r="K541" i="15"/>
  <c r="AB210" i="15"/>
  <c r="J567" i="15"/>
  <c r="J564" i="15"/>
  <c r="AB207" i="15"/>
  <c r="AB217" i="15"/>
  <c r="J574" i="15"/>
  <c r="U216" i="15"/>
  <c r="V216" i="15"/>
  <c r="W216" i="15" s="1"/>
  <c r="AG59" i="15"/>
  <c r="AH59" i="15"/>
  <c r="AI59" i="15" s="1"/>
  <c r="AB219" i="15"/>
  <c r="J576" i="15"/>
  <c r="AB88" i="15"/>
  <c r="AD88" i="15" s="1"/>
  <c r="AD261" i="15"/>
  <c r="AE261" i="15" s="1"/>
  <c r="AC261" i="15"/>
  <c r="Y212" i="15"/>
  <c r="Z212" i="15"/>
  <c r="AA212" i="15" s="1"/>
  <c r="Z204" i="15"/>
  <c r="AA204" i="15" s="1"/>
  <c r="Y204" i="15"/>
  <c r="L215" i="15"/>
  <c r="L448" i="15"/>
  <c r="AJ89" i="15"/>
  <c r="L136" i="15"/>
  <c r="K262" i="15"/>
  <c r="AF136" i="15"/>
  <c r="K495" i="15"/>
  <c r="L261" i="15"/>
  <c r="AJ135" i="15"/>
  <c r="L494" i="15"/>
  <c r="K206" i="15"/>
  <c r="L439" i="15"/>
  <c r="AJ80" i="15"/>
  <c r="K209" i="15"/>
  <c r="AJ83" i="15"/>
  <c r="L442" i="15"/>
  <c r="K205" i="15"/>
  <c r="L438" i="15"/>
  <c r="AJ79" i="15"/>
  <c r="L184" i="15"/>
  <c r="AJ58" i="15"/>
  <c r="L417" i="15"/>
  <c r="K210" i="15"/>
  <c r="L443" i="15"/>
  <c r="AJ84" i="15"/>
  <c r="K90" i="15"/>
  <c r="J216" i="15"/>
  <c r="AB90" i="15"/>
  <c r="J449" i="15"/>
  <c r="K207" i="15"/>
  <c r="L440" i="15"/>
  <c r="AJ81" i="15"/>
  <c r="L91" i="15"/>
  <c r="K217" i="15"/>
  <c r="K450" i="15"/>
  <c r="AF91" i="15"/>
  <c r="U92" i="15"/>
  <c r="V92" i="15"/>
  <c r="W92" i="15" s="1"/>
  <c r="AG82" i="15"/>
  <c r="AH82" i="15"/>
  <c r="AI82" i="15" s="1"/>
  <c r="Y207" i="15"/>
  <c r="Z207" i="15"/>
  <c r="AA207" i="15" s="1"/>
  <c r="Q218" i="15"/>
  <c r="R218" i="15"/>
  <c r="S218" i="15" s="1"/>
  <c r="K211" i="15"/>
  <c r="L444" i="15"/>
  <c r="AJ85" i="15"/>
  <c r="L93" i="15"/>
  <c r="K219" i="15"/>
  <c r="AF93" i="15"/>
  <c r="K452" i="15"/>
  <c r="K212" i="15"/>
  <c r="AJ86" i="15"/>
  <c r="L445" i="15"/>
  <c r="AG78" i="15"/>
  <c r="AH78" i="15"/>
  <c r="AI78" i="15" s="1"/>
  <c r="Y211" i="15"/>
  <c r="Z211" i="15"/>
  <c r="AA211" i="15" s="1"/>
  <c r="Q134" i="15"/>
  <c r="J132" i="20" s="1"/>
  <c r="J154" i="20" s="1"/>
  <c r="J131" i="20"/>
  <c r="J153" i="20" s="1"/>
  <c r="K130" i="20"/>
  <c r="T134" i="15"/>
  <c r="AC184" i="15"/>
  <c r="AD184" i="15"/>
  <c r="AE184" i="15" s="1"/>
  <c r="AG135" i="15"/>
  <c r="AH135" i="15"/>
  <c r="AI135" i="15" s="1"/>
  <c r="AG80" i="15"/>
  <c r="AH80" i="15"/>
  <c r="AI80" i="15" s="1"/>
  <c r="AG58" i="15"/>
  <c r="AH58" i="15"/>
  <c r="AI58" i="15" s="1"/>
  <c r="Z155" i="15"/>
  <c r="L137" i="20"/>
  <c r="L156" i="20" s="1"/>
  <c r="Y155" i="15"/>
  <c r="L138" i="20" s="1"/>
  <c r="L157" i="20" s="1"/>
  <c r="AG84" i="15"/>
  <c r="AH84" i="15"/>
  <c r="AI84" i="15" s="1"/>
  <c r="AG81" i="15"/>
  <c r="AH81" i="15"/>
  <c r="AI81" i="15" s="1"/>
  <c r="J92" i="15"/>
  <c r="I218" i="15"/>
  <c r="I451" i="15"/>
  <c r="I493" i="15" s="1"/>
  <c r="I134" i="15" s="1"/>
  <c r="X92" i="15"/>
  <c r="AB208" i="15"/>
  <c r="J565" i="15"/>
  <c r="AC93" i="15"/>
  <c r="AD93" i="15"/>
  <c r="AE93" i="15" s="1"/>
  <c r="AC215" i="15"/>
  <c r="AD215" i="15"/>
  <c r="AE215" i="15" s="1"/>
  <c r="Y262" i="15"/>
  <c r="Z262" i="15"/>
  <c r="AA262" i="15" s="1"/>
  <c r="Y206" i="15"/>
  <c r="Z206" i="15"/>
  <c r="AA206" i="15" s="1"/>
  <c r="AB262" i="15"/>
  <c r="J619" i="15"/>
  <c r="K618" i="15"/>
  <c r="AF261" i="15"/>
  <c r="J563" i="15"/>
  <c r="AB206" i="15"/>
  <c r="AB205" i="15"/>
  <c r="J562" i="15"/>
  <c r="I573" i="15"/>
  <c r="X216" i="15"/>
  <c r="K208" i="15"/>
  <c r="AJ82" i="15"/>
  <c r="L441" i="15"/>
  <c r="W155" i="15"/>
  <c r="K140" i="20" s="1"/>
  <c r="K139" i="20"/>
  <c r="K227" i="20" s="1"/>
  <c r="AB211" i="15"/>
  <c r="J568" i="15"/>
  <c r="AB212" i="15"/>
  <c r="J569" i="15"/>
  <c r="K447" i="15"/>
  <c r="K88" i="15" s="1"/>
  <c r="J638" i="15"/>
  <c r="J281" i="15" s="1"/>
  <c r="AB281" i="15" s="1"/>
  <c r="Y219" i="15"/>
  <c r="Z219" i="15"/>
  <c r="AA219" i="15" s="1"/>
  <c r="AC136" i="15"/>
  <c r="AD136" i="15"/>
  <c r="AE136" i="15" s="1"/>
  <c r="K514" i="15"/>
  <c r="K155" i="15" s="1"/>
  <c r="AG83" i="15"/>
  <c r="AH83" i="15"/>
  <c r="AI83" i="15" s="1"/>
  <c r="AG79" i="15"/>
  <c r="AH79" i="15"/>
  <c r="AI79" i="15" s="1"/>
  <c r="Y90" i="15"/>
  <c r="Z90" i="15"/>
  <c r="AA90" i="15" s="1"/>
  <c r="AC91" i="15"/>
  <c r="AD91" i="15"/>
  <c r="AE91" i="15" s="1"/>
  <c r="H575" i="15"/>
  <c r="H617" i="15" s="1"/>
  <c r="H260" i="15" s="1"/>
  <c r="T260" i="15" s="1"/>
  <c r="T218" i="15"/>
  <c r="Y210" i="15"/>
  <c r="Z210" i="15"/>
  <c r="AA210" i="15" s="1"/>
  <c r="AG85" i="15"/>
  <c r="AH85" i="15"/>
  <c r="AI85" i="15" s="1"/>
  <c r="Z208" i="15"/>
  <c r="AA208" i="15" s="1"/>
  <c r="Y208" i="15"/>
  <c r="K542" i="15"/>
  <c r="AF185" i="15"/>
  <c r="AG86" i="15"/>
  <c r="AH86" i="15"/>
  <c r="AI86" i="15" s="1"/>
  <c r="J561" i="15"/>
  <c r="J571" i="15" s="1"/>
  <c r="J214" i="15" s="1"/>
  <c r="AB214" i="15" s="1"/>
  <c r="AB204" i="15"/>
  <c r="AA214" i="15"/>
  <c r="AG114" i="15"/>
  <c r="AH114" i="15"/>
  <c r="AI114" i="15" s="1"/>
  <c r="AJ114" i="15"/>
  <c r="L473" i="15"/>
  <c r="N124" i="20"/>
  <c r="AF88" i="15"/>
  <c r="AG87" i="15"/>
  <c r="AH87" i="15"/>
  <c r="AI87" i="15" s="1"/>
  <c r="AJ87" i="15"/>
  <c r="L446" i="15"/>
  <c r="L447" i="15" s="1"/>
  <c r="L88" i="15" s="1"/>
  <c r="AA88" i="15"/>
  <c r="L128" i="20" s="1"/>
  <c r="L127" i="20"/>
  <c r="L225" i="20" s="1"/>
  <c r="AC88" i="15"/>
  <c r="M126" i="20" s="1"/>
  <c r="M151" i="20" s="1"/>
  <c r="AP59" i="19"/>
  <c r="AS59" i="19"/>
  <c r="AT59" i="19" s="1"/>
  <c r="AS31" i="19"/>
  <c r="AT31" i="19" s="1"/>
  <c r="AS139" i="19"/>
  <c r="AT139" i="19" s="1"/>
  <c r="AR120" i="19"/>
  <c r="AO119" i="19"/>
  <c r="AP119" i="19" s="1"/>
  <c r="AN119" i="19"/>
  <c r="AS129" i="19"/>
  <c r="AT129" i="19" s="1"/>
  <c r="AO120" i="19"/>
  <c r="AP120" i="19" s="1"/>
  <c r="AN120" i="19"/>
  <c r="AR119" i="19"/>
  <c r="AS111" i="19"/>
  <c r="AT111" i="19" s="1"/>
  <c r="AS113" i="19"/>
  <c r="AT113" i="19" s="1"/>
  <c r="AR112" i="19"/>
  <c r="AS112" i="19"/>
  <c r="AT112" i="19" s="1"/>
  <c r="AS122" i="19"/>
  <c r="AT122" i="19" s="1"/>
  <c r="AS131" i="19"/>
  <c r="AT131" i="19" s="1"/>
  <c r="AO112" i="19"/>
  <c r="AP112" i="19" s="1"/>
  <c r="AN112" i="19"/>
  <c r="AS109" i="19"/>
  <c r="AT109" i="19" s="1"/>
  <c r="AO70" i="19"/>
  <c r="AP70" i="19" s="1"/>
  <c r="AN70" i="19"/>
  <c r="AS90" i="19"/>
  <c r="AT90" i="19" s="1"/>
  <c r="AR80" i="19"/>
  <c r="AR70" i="19"/>
  <c r="AS70" i="19"/>
  <c r="AT70" i="19" s="1"/>
  <c r="AN80" i="19"/>
  <c r="AO80" i="19"/>
  <c r="AP80" i="19" s="1"/>
  <c r="AR78" i="19"/>
  <c r="AN74" i="19"/>
  <c r="AO74" i="19"/>
  <c r="AP74" i="19" s="1"/>
  <c r="AO79" i="19"/>
  <c r="AP79" i="19" s="1"/>
  <c r="AN79" i="19"/>
  <c r="AO76" i="19"/>
  <c r="AP76" i="19" s="1"/>
  <c r="AN76" i="19"/>
  <c r="AS69" i="19"/>
  <c r="AT69" i="19" s="1"/>
  <c r="AS98" i="19"/>
  <c r="AT98" i="19" s="1"/>
  <c r="AS72" i="19"/>
  <c r="AT72" i="19" s="1"/>
  <c r="AN78" i="19"/>
  <c r="AO78" i="19"/>
  <c r="AP78" i="19" s="1"/>
  <c r="AR74" i="19"/>
  <c r="AR79" i="19"/>
  <c r="AS79" i="19"/>
  <c r="AT79" i="19" s="1"/>
  <c r="AR76" i="19"/>
  <c r="AS76" i="19"/>
  <c r="AT76" i="19" s="1"/>
  <c r="AS68" i="19"/>
  <c r="AT68" i="19" s="1"/>
  <c r="AR55" i="19"/>
  <c r="AO55" i="19"/>
  <c r="AP55" i="19" s="1"/>
  <c r="AN55" i="19"/>
  <c r="AN34" i="19"/>
  <c r="AO34" i="19"/>
  <c r="AP34" i="19" s="1"/>
  <c r="AS39" i="19"/>
  <c r="AT39" i="19" s="1"/>
  <c r="AS60" i="19"/>
  <c r="AT60" i="19" s="1"/>
  <c r="AS49" i="19"/>
  <c r="AT49" i="19" s="1"/>
  <c r="AR34" i="19"/>
  <c r="AS34" i="19"/>
  <c r="AT34" i="19" s="1"/>
  <c r="AS37" i="19"/>
  <c r="AT37" i="19" s="1"/>
  <c r="AS56" i="19"/>
  <c r="AT56" i="19" s="1"/>
  <c r="AS58" i="19"/>
  <c r="AT58" i="19" s="1"/>
  <c r="AS50" i="19"/>
  <c r="AT50" i="19" s="1"/>
  <c r="AS54" i="19"/>
  <c r="AT54" i="19" s="1"/>
  <c r="AS35" i="19"/>
  <c r="AT35" i="19" s="1"/>
  <c r="AS29" i="19"/>
  <c r="AT29" i="19" s="1"/>
  <c r="AS27" i="19"/>
  <c r="AT27" i="19" s="1"/>
  <c r="AN141" i="19"/>
  <c r="AO141" i="19"/>
  <c r="AP141" i="19" s="1"/>
  <c r="AN138" i="19"/>
  <c r="AO138" i="19"/>
  <c r="AP138" i="19" s="1"/>
  <c r="AR141" i="19"/>
  <c r="AS140" i="19"/>
  <c r="AT140" i="19" s="1"/>
  <c r="AR140" i="19"/>
  <c r="AN140" i="19"/>
  <c r="AO140" i="19"/>
  <c r="AP140" i="19" s="1"/>
  <c r="AR138" i="19"/>
  <c r="AR96" i="19"/>
  <c r="AO96" i="19"/>
  <c r="AP96" i="19" s="1"/>
  <c r="AN96" i="19"/>
  <c r="AR88" i="19"/>
  <c r="AO88" i="19"/>
  <c r="AP88" i="19" s="1"/>
  <c r="AN88" i="19"/>
  <c r="AN51" i="19"/>
  <c r="AO51" i="19"/>
  <c r="AP51" i="19" s="1"/>
  <c r="AR51" i="19"/>
  <c r="I134" i="20"/>
  <c r="I154" i="20"/>
  <c r="I153" i="20"/>
  <c r="I133" i="20"/>
  <c r="I226" i="20" s="1"/>
  <c r="K75" i="20"/>
  <c r="K55" i="20"/>
  <c r="K249" i="20"/>
  <c r="D72" i="13"/>
  <c r="D84" i="13"/>
  <c r="D57" i="13"/>
  <c r="I78" i="20" s="1"/>
  <c r="I62" i="20"/>
  <c r="L71" i="13"/>
  <c r="G57" i="13" s="1"/>
  <c r="K71" i="13"/>
  <c r="H48" i="13"/>
  <c r="L38" i="20" s="1"/>
  <c r="L36" i="20"/>
  <c r="L20" i="20"/>
  <c r="F49" i="13"/>
  <c r="L243" i="20"/>
  <c r="E84" i="13"/>
  <c r="AC214" i="15" l="1"/>
  <c r="AD214" i="15"/>
  <c r="U260" i="15"/>
  <c r="V260" i="15"/>
  <c r="W260" i="15" s="1"/>
  <c r="X134" i="15"/>
  <c r="L130" i="20"/>
  <c r="AC204" i="15"/>
  <c r="AD204" i="15"/>
  <c r="AE204" i="15" s="1"/>
  <c r="U218" i="15"/>
  <c r="V218" i="15"/>
  <c r="W218" i="15" s="1"/>
  <c r="AC281" i="15"/>
  <c r="AD281" i="15"/>
  <c r="AE281" i="15" s="1"/>
  <c r="AC206" i="15"/>
  <c r="AD206" i="15"/>
  <c r="AE206" i="15" s="1"/>
  <c r="K92" i="15"/>
  <c r="J218" i="15"/>
  <c r="AB92" i="15"/>
  <c r="J451" i="15"/>
  <c r="AF207" i="15"/>
  <c r="K564" i="15"/>
  <c r="AF209" i="15"/>
  <c r="K566" i="15"/>
  <c r="AG136" i="15"/>
  <c r="AH136" i="15"/>
  <c r="AI136" i="15" s="1"/>
  <c r="AC217" i="15"/>
  <c r="AD217" i="15"/>
  <c r="AE217" i="15" s="1"/>
  <c r="AK78" i="15"/>
  <c r="AL78" i="15"/>
  <c r="AM78" i="15" s="1"/>
  <c r="AJ185" i="15"/>
  <c r="L542" i="15"/>
  <c r="I617" i="15"/>
  <c r="I260" i="15" s="1"/>
  <c r="X260" i="15" s="1"/>
  <c r="AC262" i="15"/>
  <c r="AD262" i="15"/>
  <c r="AE262" i="15" s="1"/>
  <c r="AF219" i="15"/>
  <c r="K576" i="15"/>
  <c r="AF211" i="15"/>
  <c r="K568" i="15"/>
  <c r="L217" i="15"/>
  <c r="AJ91" i="15"/>
  <c r="L450" i="15"/>
  <c r="AK58" i="15"/>
  <c r="AL58" i="15"/>
  <c r="AM58" i="15" s="1"/>
  <c r="AK80" i="15"/>
  <c r="AL80" i="15"/>
  <c r="AM80" i="15" s="1"/>
  <c r="K619" i="15"/>
  <c r="AF262" i="15"/>
  <c r="AG215" i="15"/>
  <c r="AH215" i="15"/>
  <c r="AI215" i="15" s="1"/>
  <c r="K561" i="15"/>
  <c r="AF204" i="15"/>
  <c r="AF155" i="15"/>
  <c r="N136" i="20"/>
  <c r="AC211" i="15"/>
  <c r="AD211" i="15"/>
  <c r="AE211" i="15" s="1"/>
  <c r="AK82" i="15"/>
  <c r="AL82" i="15"/>
  <c r="AM82" i="15" s="1"/>
  <c r="AG261" i="15"/>
  <c r="AH261" i="15"/>
  <c r="AI261" i="15" s="1"/>
  <c r="K569" i="15"/>
  <c r="AF212" i="15"/>
  <c r="L219" i="15"/>
  <c r="L452" i="15"/>
  <c r="AJ93" i="15"/>
  <c r="AG91" i="15"/>
  <c r="AH91" i="15"/>
  <c r="AI91" i="15" s="1"/>
  <c r="AK81" i="15"/>
  <c r="AL81" i="15"/>
  <c r="AM81" i="15" s="1"/>
  <c r="AC90" i="15"/>
  <c r="AD90" i="15"/>
  <c r="AE90" i="15" s="1"/>
  <c r="AJ184" i="15"/>
  <c r="L541" i="15"/>
  <c r="L571" i="15" s="1"/>
  <c r="L214" i="15" s="1"/>
  <c r="L618" i="15"/>
  <c r="AJ261" i="15"/>
  <c r="L262" i="15"/>
  <c r="AJ136" i="15"/>
  <c r="L495" i="15"/>
  <c r="AC219" i="15"/>
  <c r="AD219" i="15"/>
  <c r="AE219" i="15" s="1"/>
  <c r="AG184" i="15"/>
  <c r="AH184" i="15"/>
  <c r="AI184" i="15" s="1"/>
  <c r="AG185" i="15"/>
  <c r="AH185" i="15"/>
  <c r="AI185" i="15" s="1"/>
  <c r="AC212" i="15"/>
  <c r="AD212" i="15"/>
  <c r="AE212" i="15" s="1"/>
  <c r="Z216" i="15"/>
  <c r="AA216" i="15" s="1"/>
  <c r="Y216" i="15"/>
  <c r="AC208" i="15"/>
  <c r="AD208" i="15"/>
  <c r="AE208" i="15" s="1"/>
  <c r="K131" i="20"/>
  <c r="K153" i="20" s="1"/>
  <c r="U134" i="15"/>
  <c r="K132" i="20" s="1"/>
  <c r="K154" i="20" s="1"/>
  <c r="V134" i="15"/>
  <c r="AG93" i="15"/>
  <c r="AH93" i="15"/>
  <c r="AI93" i="15" s="1"/>
  <c r="AF217" i="15"/>
  <c r="K574" i="15"/>
  <c r="L90" i="15"/>
  <c r="K216" i="15"/>
  <c r="AF90" i="15"/>
  <c r="K449" i="15"/>
  <c r="L514" i="15"/>
  <c r="L155" i="15" s="1"/>
  <c r="AC210" i="15"/>
  <c r="AD210" i="15"/>
  <c r="AE210" i="15" s="1"/>
  <c r="Y92" i="15"/>
  <c r="Z92" i="15"/>
  <c r="AA92" i="15" s="1"/>
  <c r="AK86" i="15"/>
  <c r="AL86" i="15"/>
  <c r="AM86" i="15" s="1"/>
  <c r="J493" i="15"/>
  <c r="J134" i="15" s="1"/>
  <c r="AK84" i="15"/>
  <c r="AL84" i="15"/>
  <c r="AM84" i="15" s="1"/>
  <c r="K562" i="15"/>
  <c r="AF205" i="15"/>
  <c r="AK135" i="15"/>
  <c r="AL135" i="15"/>
  <c r="AM135" i="15" s="1"/>
  <c r="L572" i="15"/>
  <c r="AJ215" i="15"/>
  <c r="AC207" i="15"/>
  <c r="AD207" i="15"/>
  <c r="AE207" i="15" s="1"/>
  <c r="M137" i="20"/>
  <c r="M156" i="20" s="1"/>
  <c r="AC155" i="15"/>
  <c r="M138" i="20" s="1"/>
  <c r="M157" i="20" s="1"/>
  <c r="M125" i="20"/>
  <c r="M150" i="20" s="1"/>
  <c r="K565" i="15"/>
  <c r="AF208" i="15"/>
  <c r="AC205" i="15"/>
  <c r="AD205" i="15"/>
  <c r="AE205" i="15" s="1"/>
  <c r="K638" i="15"/>
  <c r="K281" i="15" s="1"/>
  <c r="AF281" i="15" s="1"/>
  <c r="I575" i="15"/>
  <c r="X218" i="15"/>
  <c r="AD155" i="15"/>
  <c r="L139" i="20"/>
  <c r="L227" i="20" s="1"/>
  <c r="AA155" i="15"/>
  <c r="L140" i="20" s="1"/>
  <c r="AK85" i="15"/>
  <c r="AL85" i="15"/>
  <c r="AM85" i="15" s="1"/>
  <c r="J573" i="15"/>
  <c r="AB216" i="15"/>
  <c r="AF210" i="15"/>
  <c r="K567" i="15"/>
  <c r="AK79" i="15"/>
  <c r="AL79" i="15"/>
  <c r="AM79" i="15" s="1"/>
  <c r="AK83" i="15"/>
  <c r="AL83" i="15"/>
  <c r="AM83" i="15" s="1"/>
  <c r="K563" i="15"/>
  <c r="K571" i="15" s="1"/>
  <c r="K214" i="15" s="1"/>
  <c r="AF214" i="15" s="1"/>
  <c r="AF206" i="15"/>
  <c r="AK89" i="15"/>
  <c r="AL89" i="15"/>
  <c r="AM89" i="15" s="1"/>
  <c r="AC209" i="15"/>
  <c r="AD209" i="15"/>
  <c r="AE209" i="15" s="1"/>
  <c r="AK59" i="15"/>
  <c r="AL59" i="15"/>
  <c r="AM59" i="15" s="1"/>
  <c r="AE214" i="15"/>
  <c r="AK114" i="15"/>
  <c r="AL114" i="15"/>
  <c r="AM114" i="15" s="1"/>
  <c r="AK87" i="15"/>
  <c r="AL87" i="15"/>
  <c r="AM87" i="15" s="1"/>
  <c r="AH88" i="15"/>
  <c r="M127" i="20"/>
  <c r="M225" i="20" s="1"/>
  <c r="AE88" i="15"/>
  <c r="M128" i="20" s="1"/>
  <c r="AJ88" i="15"/>
  <c r="O124" i="20"/>
  <c r="AG88" i="15"/>
  <c r="N126" i="20" s="1"/>
  <c r="N151" i="20" s="1"/>
  <c r="N125" i="20"/>
  <c r="N150" i="20" s="1"/>
  <c r="AS74" i="19"/>
  <c r="AT74" i="19" s="1"/>
  <c r="AS51" i="19"/>
  <c r="AT51" i="19" s="1"/>
  <c r="AS138" i="19"/>
  <c r="AT138" i="19" s="1"/>
  <c r="AS119" i="19"/>
  <c r="AT119" i="19" s="1"/>
  <c r="AS120" i="19"/>
  <c r="AT120" i="19" s="1"/>
  <c r="AS141" i="19"/>
  <c r="AT141" i="19" s="1"/>
  <c r="AS96" i="19"/>
  <c r="AT96" i="19" s="1"/>
  <c r="AS80" i="19"/>
  <c r="AT80" i="19" s="1"/>
  <c r="AS78" i="19"/>
  <c r="AT78" i="19" s="1"/>
  <c r="AS88" i="19"/>
  <c r="AT88" i="19" s="1"/>
  <c r="AS55" i="19"/>
  <c r="AT55" i="19" s="1"/>
  <c r="M243" i="20"/>
  <c r="M20" i="20"/>
  <c r="F50" i="13"/>
  <c r="M36" i="20"/>
  <c r="H49" i="13"/>
  <c r="F57" i="13"/>
  <c r="I59" i="20" s="1"/>
  <c r="N71" i="13"/>
  <c r="H84" i="13"/>
  <c r="F84" i="13"/>
  <c r="L249" i="20"/>
  <c r="L75" i="20"/>
  <c r="L55" i="20"/>
  <c r="F72" i="13"/>
  <c r="G85" i="13"/>
  <c r="O72" i="13"/>
  <c r="AG214" i="15" l="1"/>
  <c r="AH214" i="15"/>
  <c r="J617" i="15"/>
  <c r="J260" i="15" s="1"/>
  <c r="AB260" i="15" s="1"/>
  <c r="AK184" i="15"/>
  <c r="AL184" i="15"/>
  <c r="AM184" i="15" s="1"/>
  <c r="Y260" i="15"/>
  <c r="Z260" i="15"/>
  <c r="AA260" i="15" s="1"/>
  <c r="L216" i="15"/>
  <c r="AJ90" i="15"/>
  <c r="L449" i="15"/>
  <c r="AK261" i="15"/>
  <c r="AL261" i="15"/>
  <c r="AM261" i="15" s="1"/>
  <c r="L576" i="15"/>
  <c r="AJ219" i="15"/>
  <c r="AG219" i="15"/>
  <c r="AH219" i="15"/>
  <c r="AI219" i="15" s="1"/>
  <c r="AG207" i="15"/>
  <c r="AH207" i="15"/>
  <c r="AI207" i="15" s="1"/>
  <c r="L92" i="15"/>
  <c r="K218" i="15"/>
  <c r="AF92" i="15"/>
  <c r="K451" i="15"/>
  <c r="AG210" i="15"/>
  <c r="AH210" i="15"/>
  <c r="AI210" i="15" s="1"/>
  <c r="Z218" i="15"/>
  <c r="AA218" i="15" s="1"/>
  <c r="Y218" i="15"/>
  <c r="AK215" i="15"/>
  <c r="AL215" i="15"/>
  <c r="AM215" i="15" s="1"/>
  <c r="AG205" i="15"/>
  <c r="AH205" i="15"/>
  <c r="AI205" i="15" s="1"/>
  <c r="AB134" i="15"/>
  <c r="M130" i="20"/>
  <c r="K493" i="15"/>
  <c r="K134" i="15" s="1"/>
  <c r="K133" i="20"/>
  <c r="K226" i="20" s="1"/>
  <c r="W134" i="15"/>
  <c r="K134" i="20" s="1"/>
  <c r="AG212" i="15"/>
  <c r="AH212" i="15"/>
  <c r="AI212" i="15" s="1"/>
  <c r="AG281" i="15"/>
  <c r="AH281" i="15"/>
  <c r="AI281" i="15" s="1"/>
  <c r="K573" i="15"/>
  <c r="AF216" i="15"/>
  <c r="AJ262" i="15"/>
  <c r="L619" i="15"/>
  <c r="L638" i="15" s="1"/>
  <c r="L281" i="15" s="1"/>
  <c r="AJ281" i="15" s="1"/>
  <c r="AG204" i="15"/>
  <c r="AH204" i="15"/>
  <c r="AI204" i="15" s="1"/>
  <c r="AK91" i="15"/>
  <c r="AL91" i="15"/>
  <c r="AM91" i="15" s="1"/>
  <c r="J575" i="15"/>
  <c r="AB218" i="15"/>
  <c r="AH155" i="15"/>
  <c r="AE155" i="15"/>
  <c r="M140" i="20" s="1"/>
  <c r="M139" i="20"/>
  <c r="M227" i="20" s="1"/>
  <c r="AJ155" i="15"/>
  <c r="O136" i="20"/>
  <c r="AG262" i="15"/>
  <c r="AH262" i="15"/>
  <c r="AI262" i="15" s="1"/>
  <c r="L574" i="15"/>
  <c r="AJ217" i="15"/>
  <c r="AG206" i="15"/>
  <c r="AH206" i="15"/>
  <c r="AI206" i="15" s="1"/>
  <c r="AC216" i="15"/>
  <c r="AD216" i="15"/>
  <c r="AE216" i="15" s="1"/>
  <c r="AG208" i="15"/>
  <c r="AH208" i="15"/>
  <c r="AI208" i="15" s="1"/>
  <c r="AG90" i="15"/>
  <c r="AH90" i="15"/>
  <c r="AI90" i="15" s="1"/>
  <c r="AG217" i="15"/>
  <c r="AH217" i="15"/>
  <c r="AI217" i="15" s="1"/>
  <c r="AK136" i="15"/>
  <c r="AL136" i="15"/>
  <c r="AM136" i="15" s="1"/>
  <c r="AJ214" i="15"/>
  <c r="AK214" i="15" s="1"/>
  <c r="AK93" i="15"/>
  <c r="AL93" i="15"/>
  <c r="AM93" i="15" s="1"/>
  <c r="N137" i="20"/>
  <c r="N156" i="20" s="1"/>
  <c r="AG155" i="15"/>
  <c r="N138" i="20" s="1"/>
  <c r="N157" i="20" s="1"/>
  <c r="AG211" i="15"/>
  <c r="AH211" i="15"/>
  <c r="AI211" i="15" s="1"/>
  <c r="AK185" i="15"/>
  <c r="AL185" i="15"/>
  <c r="AM185" i="15" s="1"/>
  <c r="AG209" i="15"/>
  <c r="AH209" i="15"/>
  <c r="AI209" i="15" s="1"/>
  <c r="AC92" i="15"/>
  <c r="AD92" i="15"/>
  <c r="AE92" i="15" s="1"/>
  <c r="Y134" i="15"/>
  <c r="L132" i="20" s="1"/>
  <c r="L154" i="20" s="1"/>
  <c r="L131" i="20"/>
  <c r="L153" i="20" s="1"/>
  <c r="Z134" i="15"/>
  <c r="AL214" i="15"/>
  <c r="AM214" i="15" s="1"/>
  <c r="AI214" i="15"/>
  <c r="AL88" i="15"/>
  <c r="N127" i="20"/>
  <c r="N225" i="20" s="1"/>
  <c r="AI88" i="15"/>
  <c r="N128" i="20" s="1"/>
  <c r="O125" i="20"/>
  <c r="O150" i="20" s="1"/>
  <c r="AK88" i="15"/>
  <c r="O126" i="20" s="1"/>
  <c r="O151" i="20" s="1"/>
  <c r="H72" i="13"/>
  <c r="J72" i="13" s="1"/>
  <c r="M72" i="13"/>
  <c r="E85" i="13" s="1"/>
  <c r="H57" i="13"/>
  <c r="F51" i="13"/>
  <c r="N20" i="20"/>
  <c r="H50" i="13"/>
  <c r="N243" i="20"/>
  <c r="N36" i="20"/>
  <c r="I220" i="20"/>
  <c r="I82" i="20"/>
  <c r="I116" i="20" s="1"/>
  <c r="I222" i="20"/>
  <c r="D24" i="18"/>
  <c r="M55" i="20"/>
  <c r="M75" i="20"/>
  <c r="M249" i="20"/>
  <c r="AK281" i="15" l="1"/>
  <c r="AL281" i="15"/>
  <c r="AM281" i="15" s="1"/>
  <c r="L573" i="15"/>
  <c r="AJ216" i="15"/>
  <c r="AK217" i="15"/>
  <c r="AL217" i="15"/>
  <c r="AM217" i="15" s="1"/>
  <c r="AC134" i="15"/>
  <c r="M132" i="20" s="1"/>
  <c r="M154" i="20" s="1"/>
  <c r="M131" i="20"/>
  <c r="M153" i="20" s="1"/>
  <c r="AD134" i="15"/>
  <c r="L218" i="15"/>
  <c r="AJ92" i="15"/>
  <c r="L451" i="15"/>
  <c r="AC260" i="15"/>
  <c r="AD260" i="15"/>
  <c r="AK155" i="15"/>
  <c r="O138" i="20" s="1"/>
  <c r="O157" i="20" s="1"/>
  <c r="O137" i="20"/>
  <c r="O156" i="20" s="1"/>
  <c r="AC218" i="15"/>
  <c r="AD218" i="15"/>
  <c r="AE218" i="15" s="1"/>
  <c r="AG216" i="15"/>
  <c r="AH216" i="15"/>
  <c r="AI216" i="15" s="1"/>
  <c r="AK219" i="15"/>
  <c r="AL219" i="15"/>
  <c r="AM219" i="15" s="1"/>
  <c r="L493" i="15"/>
  <c r="L134" i="15" s="1"/>
  <c r="K575" i="15"/>
  <c r="K617" i="15" s="1"/>
  <c r="K260" i="15" s="1"/>
  <c r="AF260" i="15" s="1"/>
  <c r="AG260" i="15" s="1"/>
  <c r="AF218" i="15"/>
  <c r="AA134" i="15"/>
  <c r="L134" i="20" s="1"/>
  <c r="L133" i="20"/>
  <c r="L226" i="20" s="1"/>
  <c r="AL155" i="15"/>
  <c r="AI155" i="15"/>
  <c r="N140" i="20" s="1"/>
  <c r="N139" i="20"/>
  <c r="N227" i="20" s="1"/>
  <c r="AK262" i="15"/>
  <c r="AL262" i="15"/>
  <c r="AM262" i="15" s="1"/>
  <c r="AF134" i="15"/>
  <c r="N130" i="20"/>
  <c r="AG92" i="15"/>
  <c r="AH92" i="15"/>
  <c r="AI92" i="15" s="1"/>
  <c r="AK90" i="15"/>
  <c r="AL90" i="15"/>
  <c r="AM90" i="15" s="1"/>
  <c r="O127" i="20"/>
  <c r="O225" i="20" s="1"/>
  <c r="AM88" i="15"/>
  <c r="O128" i="20" s="1"/>
  <c r="N38" i="20"/>
  <c r="M38" i="20"/>
  <c r="N249" i="20"/>
  <c r="N75" i="20"/>
  <c r="N55" i="20"/>
  <c r="D27" i="18"/>
  <c r="D98" i="18"/>
  <c r="I178" i="20"/>
  <c r="O36" i="20"/>
  <c r="O243" i="20"/>
  <c r="O20" i="20"/>
  <c r="H51" i="13"/>
  <c r="O38" i="20" s="1"/>
  <c r="D58" i="13"/>
  <c r="J78" i="20" s="1"/>
  <c r="J62" i="20"/>
  <c r="D73" i="13"/>
  <c r="D85" i="13"/>
  <c r="E24" i="18"/>
  <c r="K72" i="13"/>
  <c r="L72" i="13"/>
  <c r="G58" i="13" s="1"/>
  <c r="O130" i="20" l="1"/>
  <c r="AJ134" i="15"/>
  <c r="AK92" i="15"/>
  <c r="AL92" i="15"/>
  <c r="AM92" i="15" s="1"/>
  <c r="AG134" i="15"/>
  <c r="N132" i="20" s="1"/>
  <c r="N154" i="20" s="1"/>
  <c r="N131" i="20"/>
  <c r="N153" i="20" s="1"/>
  <c r="AH134" i="15"/>
  <c r="L575" i="15"/>
  <c r="L617" i="15" s="1"/>
  <c r="L260" i="15" s="1"/>
  <c r="AJ260" i="15" s="1"/>
  <c r="AJ218" i="15"/>
  <c r="O139" i="20"/>
  <c r="O227" i="20" s="1"/>
  <c r="AM155" i="15"/>
  <c r="O140" i="20" s="1"/>
  <c r="AK216" i="15"/>
  <c r="AL216" i="15"/>
  <c r="AM216" i="15" s="1"/>
  <c r="AH260" i="15"/>
  <c r="AI260" i="15" s="1"/>
  <c r="AE260" i="15"/>
  <c r="AG218" i="15"/>
  <c r="AH218" i="15"/>
  <c r="AI218" i="15" s="1"/>
  <c r="M133" i="20"/>
  <c r="M226" i="20" s="1"/>
  <c r="AE134" i="15"/>
  <c r="M134" i="20" s="1"/>
  <c r="E61" i="18"/>
  <c r="G86" i="13"/>
  <c r="F73" i="13"/>
  <c r="O73" i="13"/>
  <c r="F58" i="13"/>
  <c r="J59" i="20" s="1"/>
  <c r="N72" i="13"/>
  <c r="O55" i="20"/>
  <c r="O249" i="20"/>
  <c r="O75" i="20"/>
  <c r="I186" i="20"/>
  <c r="J178" i="20"/>
  <c r="E27" i="18"/>
  <c r="J182" i="20" s="1"/>
  <c r="F85" i="13"/>
  <c r="H85" i="13"/>
  <c r="I182" i="20"/>
  <c r="AK260" i="15" l="1"/>
  <c r="AL260" i="15"/>
  <c r="AM260" i="15" s="1"/>
  <c r="AI134" i="15"/>
  <c r="N134" i="20" s="1"/>
  <c r="N133" i="20"/>
  <c r="N226" i="20" s="1"/>
  <c r="AK218" i="15"/>
  <c r="AL218" i="15"/>
  <c r="AM218" i="15" s="1"/>
  <c r="O131" i="20"/>
  <c r="O153" i="20" s="1"/>
  <c r="AK134" i="15"/>
  <c r="O132" i="20" s="1"/>
  <c r="O154" i="20" s="1"/>
  <c r="AL134" i="15"/>
  <c r="J91" i="20"/>
  <c r="E97" i="18"/>
  <c r="E98" i="18" s="1"/>
  <c r="J186" i="20" s="1"/>
  <c r="E62" i="18"/>
  <c r="J180" i="20"/>
  <c r="H58" i="13"/>
  <c r="M73" i="13"/>
  <c r="E86" i="13" s="1"/>
  <c r="H73" i="13"/>
  <c r="J73" i="13" s="1"/>
  <c r="J222" i="20"/>
  <c r="J82" i="20"/>
  <c r="J116" i="20" s="1"/>
  <c r="I183" i="20"/>
  <c r="J183" i="20"/>
  <c r="AM134" i="15" l="1"/>
  <c r="O134" i="20" s="1"/>
  <c r="O133" i="20"/>
  <c r="O226" i="20" s="1"/>
  <c r="J93" i="20"/>
  <c r="J181" i="20"/>
  <c r="F24" i="18"/>
  <c r="K62" i="20"/>
  <c r="D59" i="13"/>
  <c r="K78" i="20" s="1"/>
  <c r="D74" i="13"/>
  <c r="D86" i="13"/>
  <c r="K73" i="13"/>
  <c r="L73" i="13"/>
  <c r="G59" i="13" s="1"/>
  <c r="F61" i="18" l="1"/>
  <c r="H86" i="13"/>
  <c r="F86" i="13"/>
  <c r="O74" i="13"/>
  <c r="F74" i="13"/>
  <c r="G87" i="13"/>
  <c r="F59" i="13"/>
  <c r="K59" i="20" s="1"/>
  <c r="N73" i="13"/>
  <c r="F27" i="18"/>
  <c r="K178" i="20"/>
  <c r="F97" i="18" l="1"/>
  <c r="F98" i="18" s="1"/>
  <c r="K186" i="20" s="1"/>
  <c r="K91" i="20"/>
  <c r="K180" i="20"/>
  <c r="F62" i="18"/>
  <c r="K182" i="20"/>
  <c r="H74" i="13"/>
  <c r="J74" i="13" s="1"/>
  <c r="M74" i="13"/>
  <c r="E87" i="13" s="1"/>
  <c r="H59" i="13"/>
  <c r="K82" i="20"/>
  <c r="K116" i="20" s="1"/>
  <c r="K222" i="20"/>
  <c r="K93" i="20" l="1"/>
  <c r="K181" i="20"/>
  <c r="L62" i="20"/>
  <c r="D75" i="13"/>
  <c r="G24" i="18"/>
  <c r="D87" i="13"/>
  <c r="D60" i="13"/>
  <c r="L78" i="20" s="1"/>
  <c r="L74" i="13"/>
  <c r="G60" i="13" s="1"/>
  <c r="K74" i="13"/>
  <c r="K183" i="20"/>
  <c r="G61" i="18" l="1"/>
  <c r="F87" i="13"/>
  <c r="H87" i="13"/>
  <c r="F60" i="13"/>
  <c r="L59" i="20" s="1"/>
  <c r="N74" i="13"/>
  <c r="L178" i="20"/>
  <c r="G27" i="18"/>
  <c r="G88" i="13"/>
  <c r="F75" i="13"/>
  <c r="O75" i="13"/>
  <c r="L91" i="20" l="1"/>
  <c r="L180" i="20"/>
  <c r="G97" i="18"/>
  <c r="G98" i="18" s="1"/>
  <c r="L186" i="20" s="1"/>
  <c r="G62" i="18"/>
  <c r="L182" i="20"/>
  <c r="H60" i="13"/>
  <c r="M75" i="13"/>
  <c r="E88" i="13" s="1"/>
  <c r="H75" i="13"/>
  <c r="L82" i="20"/>
  <c r="L116" i="20" s="1"/>
  <c r="L222" i="20"/>
  <c r="L181" i="20" l="1"/>
  <c r="L93" i="20"/>
  <c r="M62" i="20"/>
  <c r="J75" i="13"/>
  <c r="L183" i="20"/>
  <c r="D88" i="13" l="1"/>
  <c r="H24" i="18"/>
  <c r="D76" i="13"/>
  <c r="D61" i="13"/>
  <c r="M78" i="20" s="1"/>
  <c r="K75" i="13"/>
  <c r="L75" i="13"/>
  <c r="G61" i="13" s="1"/>
  <c r="H61" i="18" l="1"/>
  <c r="H27" i="18" s="1"/>
  <c r="O76" i="13"/>
  <c r="F76" i="13"/>
  <c r="G89" i="13"/>
  <c r="F61" i="13"/>
  <c r="M59" i="20" s="1"/>
  <c r="N75" i="13"/>
  <c r="M178" i="20"/>
  <c r="H88" i="13"/>
  <c r="F88" i="13"/>
  <c r="M180" i="20" l="1"/>
  <c r="H97" i="18"/>
  <c r="H98" i="18" s="1"/>
  <c r="M186" i="20" s="1"/>
  <c r="M91" i="20"/>
  <c r="H62" i="18"/>
  <c r="M76" i="13"/>
  <c r="E89" i="13" s="1"/>
  <c r="H76" i="13"/>
  <c r="J76" i="13" s="1"/>
  <c r="H61" i="13"/>
  <c r="M222" i="20"/>
  <c r="M82" i="20"/>
  <c r="M116" i="20" s="1"/>
  <c r="M182" i="20"/>
  <c r="M181" i="20" l="1"/>
  <c r="M93" i="20"/>
  <c r="D89" i="13"/>
  <c r="D62" i="13"/>
  <c r="N78" i="20" s="1"/>
  <c r="D77" i="13"/>
  <c r="I24" i="18"/>
  <c r="N62" i="20"/>
  <c r="K76" i="13"/>
  <c r="L76" i="13"/>
  <c r="G62" i="13" s="1"/>
  <c r="M183" i="20"/>
  <c r="I61" i="18" l="1"/>
  <c r="N178" i="20"/>
  <c r="I27" i="18"/>
  <c r="O77" i="13"/>
  <c r="O78" i="13" s="1"/>
  <c r="F77" i="13"/>
  <c r="G90" i="13"/>
  <c r="F62" i="13"/>
  <c r="N59" i="20" s="1"/>
  <c r="N76" i="13"/>
  <c r="H62" i="13" s="1"/>
  <c r="H89" i="13"/>
  <c r="F89" i="13"/>
  <c r="N91" i="20" l="1"/>
  <c r="I97" i="18"/>
  <c r="I98" i="18" s="1"/>
  <c r="N186" i="20" s="1"/>
  <c r="N180" i="20"/>
  <c r="I62" i="18"/>
  <c r="N82" i="20"/>
  <c r="N116" i="20" s="1"/>
  <c r="N222" i="20"/>
  <c r="H77" i="13"/>
  <c r="J77" i="13" s="1"/>
  <c r="M77" i="13"/>
  <c r="M78" i="13" s="1"/>
  <c r="N182" i="20"/>
  <c r="N181" i="20" l="1"/>
  <c r="N93" i="20"/>
  <c r="E90" i="13"/>
  <c r="D63" i="13"/>
  <c r="O78" i="20" s="1"/>
  <c r="J24" i="18"/>
  <c r="O62" i="20"/>
  <c r="D90" i="13"/>
  <c r="J78" i="13"/>
  <c r="K77" i="13"/>
  <c r="L77" i="13"/>
  <c r="G63" i="13" s="1"/>
  <c r="N183" i="20"/>
  <c r="J61" i="18" l="1"/>
  <c r="J27" i="18" s="1"/>
  <c r="O182" i="20" s="1"/>
  <c r="O183" i="20" s="1"/>
  <c r="J79" i="13"/>
  <c r="D65" i="13" s="1"/>
  <c r="D64" i="13"/>
  <c r="H90" i="13"/>
  <c r="H91" i="13" s="1"/>
  <c r="F90" i="13"/>
  <c r="F63" i="13"/>
  <c r="O59" i="20" s="1"/>
  <c r="K78" i="13"/>
  <c r="N77" i="13"/>
  <c r="O178" i="20"/>
  <c r="K24" i="18"/>
  <c r="K61" i="18" s="1"/>
  <c r="P91" i="20" l="1"/>
  <c r="K97" i="18"/>
  <c r="K98" i="18" s="1"/>
  <c r="P186" i="20" s="1"/>
  <c r="P180" i="20"/>
  <c r="K62" i="18"/>
  <c r="O180" i="20"/>
  <c r="O91" i="20"/>
  <c r="J97" i="18"/>
  <c r="J98" i="18" s="1"/>
  <c r="O186" i="20" s="1"/>
  <c r="J62" i="18"/>
  <c r="H63" i="13"/>
  <c r="N78" i="13"/>
  <c r="P178" i="20"/>
  <c r="L24" i="18"/>
  <c r="L61" i="18" s="1"/>
  <c r="K27" i="18"/>
  <c r="P182" i="20" s="1"/>
  <c r="P183" i="20" s="1"/>
  <c r="O222" i="20"/>
  <c r="O82" i="20"/>
  <c r="O116" i="20" s="1"/>
  <c r="O181" i="20" l="1"/>
  <c r="O93" i="20"/>
  <c r="P93" i="20"/>
  <c r="P181" i="20"/>
  <c r="Q91" i="20"/>
  <c r="L97" i="18"/>
  <c r="L98" i="18" s="1"/>
  <c r="Q186" i="20" s="1"/>
  <c r="Q180" i="20"/>
  <c r="L62" i="18"/>
  <c r="M24" i="18"/>
  <c r="Q178" i="20"/>
  <c r="L27" i="18"/>
  <c r="Q182" i="20" s="1"/>
  <c r="Q183" i="20" s="1"/>
  <c r="Q181" i="20" l="1"/>
  <c r="Q93" i="20"/>
  <c r="M61" i="18"/>
  <c r="M27" i="18" s="1"/>
  <c r="N31" i="18"/>
  <c r="O168" i="20" s="1"/>
  <c r="N24" i="18"/>
  <c r="R178" i="20"/>
  <c r="R91" i="20" l="1"/>
  <c r="M97" i="18"/>
  <c r="M98" i="18" s="1"/>
  <c r="N98" i="18" s="1"/>
  <c r="S186" i="20" s="1"/>
  <c r="R180" i="20"/>
  <c r="N61" i="18"/>
  <c r="M62" i="18"/>
  <c r="R182" i="20"/>
  <c r="R183" i="20" s="1"/>
  <c r="N27" i="18"/>
  <c r="S178" i="20"/>
  <c r="I86" i="20"/>
  <c r="O165" i="20" s="1"/>
  <c r="R186" i="20" l="1"/>
  <c r="S91" i="20"/>
  <c r="N97" i="18"/>
  <c r="S180" i="20"/>
  <c r="R181" i="20"/>
  <c r="R93" i="20"/>
  <c r="I89" i="20"/>
  <c r="S182" i="20"/>
</calcChain>
</file>

<file path=xl/comments1.xml><?xml version="1.0" encoding="utf-8"?>
<comments xmlns="http://schemas.openxmlformats.org/spreadsheetml/2006/main">
  <authors>
    <author>Gokgur, Pamela</author>
  </authors>
  <commentList>
    <comment ref="C102" authorId="0">
      <text>
        <r>
          <rPr>
            <b/>
            <sz val="9"/>
            <color indexed="81"/>
            <rFont val="Tahoma"/>
            <family val="2"/>
          </rPr>
          <t>Gokgur, Pamela:</t>
        </r>
        <r>
          <rPr>
            <sz val="9"/>
            <color indexed="81"/>
            <rFont val="Tahoma"/>
            <family val="2"/>
          </rPr>
          <t xml:space="preserve">
This rate was not in existence for 2014/15 but has been entered here to allow formulas to work correctly in WK5a</t>
        </r>
      </text>
    </comment>
    <comment ref="F102" authorId="0">
      <text>
        <r>
          <rPr>
            <b/>
            <sz val="9"/>
            <color indexed="81"/>
            <rFont val="Tahoma"/>
            <charset val="1"/>
          </rPr>
          <t>Gokgur, Pamela:</t>
        </r>
        <r>
          <rPr>
            <sz val="9"/>
            <color indexed="81"/>
            <rFont val="Tahoma"/>
            <charset val="1"/>
          </rPr>
          <t xml:space="preserve">
as per instructions from T Camenzuli a minute value has been entered here to avoid calculation errors in WK5a</t>
        </r>
      </text>
    </comment>
    <comment ref="B103" authorId="0">
      <text>
        <r>
          <rPr>
            <b/>
            <sz val="9"/>
            <color indexed="81"/>
            <rFont val="Tahoma"/>
            <family val="2"/>
          </rPr>
          <t>Gokgur, Pamela:</t>
        </r>
        <r>
          <rPr>
            <sz val="9"/>
            <color indexed="81"/>
            <rFont val="Tahoma"/>
            <family val="2"/>
          </rPr>
          <t xml:space="preserve">
This is a residential special rate</t>
        </r>
      </text>
    </comment>
    <comment ref="C103" authorId="0">
      <text>
        <r>
          <rPr>
            <b/>
            <sz val="9"/>
            <color indexed="81"/>
            <rFont val="Tahoma"/>
            <family val="2"/>
          </rPr>
          <t>Gokgur, Pamela:</t>
        </r>
        <r>
          <rPr>
            <sz val="9"/>
            <color indexed="81"/>
            <rFont val="Tahoma"/>
            <family val="2"/>
          </rPr>
          <t xml:space="preserve">
This rate was not in existence for 2104/15 but has been entered here to allow formulas to work correctly in WK5a</t>
        </r>
      </text>
    </comment>
  </commentList>
</comments>
</file>

<file path=xl/comments2.xml><?xml version="1.0" encoding="utf-8"?>
<comments xmlns="http://schemas.openxmlformats.org/spreadsheetml/2006/main">
  <authors>
    <author>Gokgur, Pamela</author>
  </authors>
  <commentList>
    <comment ref="B101" authorId="0">
      <text>
        <r>
          <rPr>
            <b/>
            <sz val="9"/>
            <color indexed="81"/>
            <rFont val="Tahoma"/>
            <charset val="1"/>
          </rPr>
          <t>Gokgur, Pamela:</t>
        </r>
        <r>
          <rPr>
            <sz val="9"/>
            <color indexed="81"/>
            <rFont val="Tahoma"/>
            <charset val="1"/>
          </rPr>
          <t xml:space="preserve">
This is a Residential special Rate</t>
        </r>
      </text>
    </comment>
    <comment ref="B102" authorId="0">
      <text>
        <r>
          <rPr>
            <b/>
            <sz val="9"/>
            <color indexed="81"/>
            <rFont val="Tahoma"/>
            <charset val="1"/>
          </rPr>
          <t>Gokgur, Pamela:</t>
        </r>
        <r>
          <rPr>
            <sz val="9"/>
            <color indexed="81"/>
            <rFont val="Tahoma"/>
            <charset val="1"/>
          </rPr>
          <t xml:space="preserve">
This is a Residential special Rate</t>
        </r>
      </text>
    </comment>
  </commentList>
</comments>
</file>

<file path=xl/comments3.xml><?xml version="1.0" encoding="utf-8"?>
<comments xmlns="http://schemas.openxmlformats.org/spreadsheetml/2006/main">
  <authors>
    <author>Gokgur, Pamela</author>
  </authors>
  <commentList>
    <comment ref="D114" authorId="0">
      <text>
        <r>
          <rPr>
            <b/>
            <sz val="9"/>
            <color indexed="81"/>
            <rFont val="Tahoma"/>
            <family val="2"/>
          </rPr>
          <t>Gokgur, Pamela:</t>
        </r>
        <r>
          <rPr>
            <sz val="9"/>
            <color indexed="81"/>
            <rFont val="Tahoma"/>
            <family val="2"/>
          </rPr>
          <t xml:space="preserve">
This is a residential special rate
</t>
        </r>
      </text>
    </comment>
  </commentList>
</comments>
</file>

<file path=xl/comments4.xml><?xml version="1.0" encoding="utf-8"?>
<comments xmlns="http://schemas.openxmlformats.org/spreadsheetml/2006/main">
  <authors>
    <author>Gokgur, Pamela</author>
  </authors>
  <commentList>
    <comment ref="G19" authorId="0">
      <text>
        <r>
          <rPr>
            <b/>
            <sz val="9"/>
            <color indexed="81"/>
            <rFont val="Tahoma"/>
            <charset val="1"/>
          </rPr>
          <t>Gokgur, Pamela:</t>
        </r>
        <r>
          <rPr>
            <sz val="9"/>
            <color indexed="81"/>
            <rFont val="Tahoma"/>
            <charset val="1"/>
          </rPr>
          <t xml:space="preserve">
Valuation will take effect in 2015/16, I have not recut average rates with new land values, as rates overall will only change by rate peg, the special rate is separate to our ordinary categories and is a true special rate for a small estate of 138 landowners</t>
        </r>
      </text>
    </comment>
  </commentList>
</comments>
</file>

<file path=xl/comments5.xml><?xml version="1.0" encoding="utf-8"?>
<comments xmlns="http://schemas.openxmlformats.org/spreadsheetml/2006/main">
  <authors>
    <author>Gokgur, Pamela</author>
  </authors>
  <commentList>
    <comment ref="D24" authorId="0">
      <text>
        <r>
          <rPr>
            <b/>
            <sz val="9"/>
            <color indexed="81"/>
            <rFont val="Tahoma"/>
            <charset val="1"/>
          </rPr>
          <t>Gokgur, Pamela:</t>
        </r>
        <r>
          <rPr>
            <sz val="9"/>
            <color indexed="81"/>
            <rFont val="Tahoma"/>
            <charset val="1"/>
          </rPr>
          <t xml:space="preserve">
Given that this was meant to be a fixed rate per year, based on a fixed interest loan and after speaking to T Camenzuli it was determined that the best way around this was to calculate the NPV of the investment, using the rate peg to come back to a reduced starting point, with  increments by the rate peg to arrive at overall recovery at the end of the 10 year period.  This is not ideal from a Council perspective but does achieve the desired outcome of avoiding an increase in permissable income had we used an even amount each year.</t>
        </r>
      </text>
    </comment>
    <comment ref="C47" authorId="0">
      <text>
        <r>
          <rPr>
            <b/>
            <sz val="9"/>
            <color indexed="81"/>
            <rFont val="Tahoma"/>
            <charset val="1"/>
          </rPr>
          <t>Gokgur, Pamela:</t>
        </r>
        <r>
          <rPr>
            <sz val="9"/>
            <color indexed="81"/>
            <rFont val="Tahoma"/>
            <charset val="1"/>
          </rPr>
          <t xml:space="preserve">
Maintenance of $33k per annum  has not been entered on this worksheet, as it will come out of the planned works budget, however it will be a cost to Council</t>
        </r>
      </text>
    </comment>
  </commentList>
</comments>
</file>

<file path=xl/comments6.xml><?xml version="1.0" encoding="utf-8"?>
<comments xmlns="http://schemas.openxmlformats.org/spreadsheetml/2006/main">
  <authors>
    <author>Gokgur, Pamela</author>
  </authors>
  <commentList>
    <comment ref="G42" authorId="0">
      <text>
        <r>
          <rPr>
            <b/>
            <sz val="9"/>
            <color indexed="81"/>
            <rFont val="Tahoma"/>
            <charset val="1"/>
          </rPr>
          <t>Gokgur, Pamela:</t>
        </r>
        <r>
          <rPr>
            <sz val="9"/>
            <color indexed="81"/>
            <rFont val="Tahoma"/>
            <charset val="1"/>
          </rPr>
          <t xml:space="preserve">
$83k per month for depreciation factored in from this year
</t>
        </r>
      </text>
    </comment>
  </commentList>
</comments>
</file>

<file path=xl/sharedStrings.xml><?xml version="1.0" encoding="utf-8"?>
<sst xmlns="http://schemas.openxmlformats.org/spreadsheetml/2006/main" count="2519" uniqueCount="982">
  <si>
    <t>(Enter the current annual charge and the proposed annual charge for each year of the application.)</t>
  </si>
  <si>
    <t>Ordinary Residential Rates - without proposed special variation</t>
  </si>
  <si>
    <t>Ordinary Business Rates - without proposed special variation</t>
  </si>
  <si>
    <t>Ordinary Farmland Rates - without proposed special variation</t>
  </si>
  <si>
    <t xml:space="preserve">          - both with and without the variation.</t>
  </si>
  <si>
    <t>Worksheet 1 - Identification</t>
  </si>
  <si>
    <t>All shaded areas on this schedule will calculate automatically from the data entered.</t>
  </si>
  <si>
    <t>Enter any proposed annual charges for each year of the proposed variation.</t>
  </si>
  <si>
    <t xml:space="preserve">      All ordinary rates and special rates need to be included.</t>
  </si>
  <si>
    <t>Rate peg increase - first year</t>
  </si>
  <si>
    <t>Additional increase - first year</t>
  </si>
  <si>
    <t>Crown Land adjustment - first year</t>
  </si>
  <si>
    <t>Total special variation - first year</t>
  </si>
  <si>
    <t xml:space="preserve">  Email:</t>
  </si>
  <si>
    <t>$0 to $99,999</t>
  </si>
  <si>
    <t>$3,000,000 and greater</t>
  </si>
  <si>
    <t>Council Name Table</t>
  </si>
  <si>
    <t>508(2) Question</t>
  </si>
  <si>
    <t>Starting Dates</t>
  </si>
  <si>
    <t>2012/13</t>
  </si>
  <si>
    <t>2013/14</t>
  </si>
  <si>
    <t>2013/2014</t>
  </si>
  <si>
    <t>2014/15</t>
  </si>
  <si>
    <t>2014/2015</t>
  </si>
  <si>
    <t>2015/16</t>
  </si>
  <si>
    <t>2015/2016</t>
  </si>
  <si>
    <t>2016/17</t>
  </si>
  <si>
    <t>V-Lookup Table providing worksheet 2 dates</t>
  </si>
  <si>
    <t>2016/2017</t>
  </si>
  <si>
    <t>2017/18</t>
  </si>
  <si>
    <t>2017/2018</t>
  </si>
  <si>
    <t>2018/19</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</si>
  <si>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</si>
  <si>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</si>
  <si>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</si>
  <si>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</si>
  <si>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</si>
  <si>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</si>
  <si>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</si>
  <si>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</si>
  <si>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</si>
  <si>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</si>
  <si>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</si>
  <si>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</si>
  <si>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</si>
  <si>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</si>
  <si>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</si>
  <si>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</si>
  <si>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</si>
  <si>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</si>
  <si>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</si>
  <si>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</si>
  <si>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</si>
  <si>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</si>
  <si>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</si>
  <si>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</si>
  <si>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</si>
  <si>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</si>
  <si>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</si>
  <si>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</si>
  <si>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</si>
  <si>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</si>
  <si>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</si>
  <si>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</si>
  <si>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</si>
  <si>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</si>
  <si>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</si>
  <si>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</si>
  <si>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</si>
  <si>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</si>
  <si>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</si>
  <si>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</si>
  <si>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</si>
  <si>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</si>
  <si>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</si>
  <si>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</si>
  <si>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Hills Shire Council, The</t>
  </si>
  <si>
    <t>508A</t>
  </si>
  <si>
    <t>Applicable to the first year of the application</t>
  </si>
  <si>
    <r>
      <t xml:space="preserve">This worksheet must reflect the rating structure levied in the previous year
</t>
    </r>
    <r>
      <rPr>
        <b/>
        <sz val="10"/>
        <rFont val="Arial"/>
        <family val="2"/>
      </rPr>
      <t xml:space="preserve">
(NOTE: Valuations used here are to be taken from Council's valuation list on 1 July of the above year and are to include supplementaries having
 the same base date and furnished to Council during that year and estimates of increases in valuations provided to the Council under section 513)</t>
    </r>
  </si>
  <si>
    <t>Base Amount
$</t>
  </si>
  <si>
    <t>Minimum
Amount
$</t>
  </si>
  <si>
    <t>Calculation of Notional General Income - Special Rates</t>
  </si>
  <si>
    <t>Calculation of Notional General Income - Annual Charges</t>
  </si>
  <si>
    <t>Annual Charges (excluding water supply, sewerage and domestic and non-domestic waste management services)</t>
  </si>
  <si>
    <t>No. of
Assessments</t>
  </si>
  <si>
    <t>Amount of Charge
$</t>
  </si>
  <si>
    <t xml:space="preserve">       Total Notional General Income:</t>
  </si>
  <si>
    <t>Land Value
as at
start of year</t>
  </si>
  <si>
    <t>to be recouped in this year</t>
  </si>
  <si>
    <t>Prior year Notional General Income</t>
  </si>
  <si>
    <t>Adjusted first year Notional General Income</t>
  </si>
  <si>
    <t>Total Adjustments</t>
  </si>
  <si>
    <t>First year Permissible General Income</t>
  </si>
  <si>
    <t>Anticipated Catchup/(Excess) in the first year</t>
  </si>
  <si>
    <t>Average Increases
Year 1</t>
  </si>
  <si>
    <t>Average Increases
Year 2</t>
  </si>
  <si>
    <t>Average Increases
Year 3</t>
  </si>
  <si>
    <t>Average Increases
Year 4</t>
  </si>
  <si>
    <t>Average Increases
Year 5</t>
  </si>
  <si>
    <t>Average Increases
Year 6</t>
  </si>
  <si>
    <t>Average Increases
Year 7</t>
  </si>
  <si>
    <t>Annual</t>
  </si>
  <si>
    <t>Cumulative</t>
  </si>
  <si>
    <t>Domestic Waste Management Services - Annual Charge</t>
  </si>
  <si>
    <t>Domestic Waste Management Services</t>
  </si>
  <si>
    <t>Description</t>
  </si>
  <si>
    <t>Annual
Charge
Year 1</t>
  </si>
  <si>
    <t>Annual
Charge
Year 2</t>
  </si>
  <si>
    <t>Annual
Charge
Year 3</t>
  </si>
  <si>
    <t>Annual
Charge
Year 4</t>
  </si>
  <si>
    <t>Annual
Charge
Year 5</t>
  </si>
  <si>
    <t>Annual
Charge
Year 6</t>
  </si>
  <si>
    <t>Annual
Charge
Year 7</t>
  </si>
  <si>
    <t>Annual Increases
Year 1</t>
  </si>
  <si>
    <t>Annual Increases
Year 2</t>
  </si>
  <si>
    <t>Annual Increases
Year 3</t>
  </si>
  <si>
    <t>Annual Increases
Year 4</t>
  </si>
  <si>
    <t>Annual Increases
Year 5</t>
  </si>
  <si>
    <t>Annual Increases
Year 6</t>
  </si>
  <si>
    <t>Annual Increases
Year 7</t>
  </si>
  <si>
    <t>Water Supply Services - Annual Charge</t>
  </si>
  <si>
    <t>Sewerage Services - Annual Charges</t>
  </si>
  <si>
    <t>Sewerage Services - Annual Charge</t>
  </si>
  <si>
    <t>Other Annual Charges</t>
  </si>
  <si>
    <t>%</t>
  </si>
  <si>
    <t>Instructions</t>
  </si>
  <si>
    <t>Council Name:</t>
  </si>
  <si>
    <t>Select Council Name</t>
  </si>
  <si>
    <t>$</t>
  </si>
  <si>
    <t>Select</t>
  </si>
  <si>
    <t>Albury City Council</t>
  </si>
  <si>
    <t>Armidale Dumaresq Council</t>
  </si>
  <si>
    <t>Yes</t>
  </si>
  <si>
    <t>Ashfield, The Council of the Municipality of</t>
  </si>
  <si>
    <t>No</t>
  </si>
  <si>
    <t>Auburn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</si>
  <si>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</si>
  <si>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</si>
  <si>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</si>
  <si>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</si>
  <si>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</si>
  <si>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</si>
  <si>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</si>
  <si>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</si>
  <si>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</si>
  <si>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</si>
  <si>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</si>
  <si>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</si>
  <si>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</si>
  <si>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</si>
  <si>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The Council of the City of</t>
  </si>
  <si>
    <t>Bourke Shire Council</t>
  </si>
  <si>
    <t>Brewarrina Shire Council</t>
  </si>
  <si>
    <t>Broken Hill City Council</t>
  </si>
  <si>
    <t>Burwood Council</t>
  </si>
  <si>
    <t>Byron Shire Council</t>
  </si>
  <si>
    <t>Cabonne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</si>
  <si>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</si>
  <si>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</si>
  <si>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</si>
  <si>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</si>
  <si>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</si>
  <si>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</si>
  <si>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</si>
  <si>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</si>
  <si>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</si>
  <si>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</si>
  <si>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</si>
  <si>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</si>
  <si>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Shire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</si>
  <si>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</si>
  <si>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</si>
  <si>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</si>
  <si>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</si>
  <si>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</si>
  <si>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</si>
  <si>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</si>
  <si>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</si>
  <si>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</si>
  <si>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</si>
  <si>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</si>
  <si>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</si>
  <si>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</si>
  <si>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</si>
  <si>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</si>
  <si>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</si>
  <si>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</si>
  <si>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</si>
  <si>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</si>
  <si>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</si>
  <si>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</si>
  <si>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</si>
  <si>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</si>
  <si>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</si>
  <si>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Hawkesbury City Council</t>
  </si>
  <si>
    <t>Hay Shire Council</t>
  </si>
  <si>
    <t>Holroyd City Council</t>
  </si>
  <si>
    <t>Hornsby, The Council of the Shire of</t>
  </si>
  <si>
    <t>Hunters Hill, The Council of the Municipality of</t>
  </si>
  <si>
    <t>Hurstville City Council</t>
  </si>
  <si>
    <t>Inverell Shire Council</t>
  </si>
  <si>
    <t>Jerilderie Shire Council</t>
  </si>
  <si>
    <t>Junee Shire Council</t>
  </si>
  <si>
    <t>Kempsey Shire Council</t>
  </si>
  <si>
    <t>Kiama, The Council of the Municipality of</t>
  </si>
  <si>
    <t>Kogarah Municipal Council</t>
  </si>
  <si>
    <t>Ku-ring-gai Municipal Council</t>
  </si>
  <si>
    <t>Kyogle Council</t>
  </si>
  <si>
    <t>Lachlan Shire Council</t>
  </si>
  <si>
    <t>Lake Macquarie City Council</t>
  </si>
  <si>
    <t>Lane Cove Council</t>
  </si>
  <si>
    <t>Leeton Shire Council</t>
  </si>
  <si>
    <t>Leichhardt Municipal Council</t>
  </si>
  <si>
    <t>Lismore City Council</t>
  </si>
  <si>
    <t>Lithgow Council, City of</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</si>
  <si>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</si>
  <si>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</si>
  <si>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</si>
  <si>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</si>
  <si>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</si>
  <si>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</si>
  <si>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</si>
  <si>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</si>
  <si>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</si>
  <si>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</si>
  <si>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</si>
  <si>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</si>
  <si>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</si>
  <si>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</si>
  <si>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</si>
  <si>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</si>
  <si>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</si>
  <si>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</si>
  <si>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</si>
  <si>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</si>
  <si>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</si>
  <si>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</si>
  <si>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</si>
  <si>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</si>
  <si>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</si>
  <si>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Macquarie-Hastings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</si>
  <si>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</si>
  <si>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</si>
  <si>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</si>
  <si>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</si>
  <si>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</si>
  <si>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</si>
  <si>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</si>
  <si>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</si>
  <si>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</si>
  <si>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</si>
  <si>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</si>
  <si>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</si>
  <si>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Tamworth Regional Council</t>
  </si>
  <si>
    <t>Temora Shire Council</t>
  </si>
  <si>
    <t>Tenterfield Shire Council</t>
  </si>
  <si>
    <t>Tumbarumba Shire Council</t>
  </si>
  <si>
    <t>Tumut Shire Council</t>
  </si>
  <si>
    <t>Tweed Shire Council</t>
  </si>
  <si>
    <t>Upper Hunter Shire Council</t>
  </si>
  <si>
    <t>Upper Lachlan Shire Council</t>
  </si>
  <si>
    <t>Uralla Shire Council</t>
  </si>
  <si>
    <t>Urana Shire Council</t>
  </si>
  <si>
    <t>Wagga Wagga City Council</t>
  </si>
  <si>
    <t>Wakool, The Council of the Shire of</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</si>
  <si>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</si>
  <si>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</si>
  <si>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</si>
  <si>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</si>
  <si>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</si>
  <si>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</si>
  <si>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</si>
  <si>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</si>
  <si>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</si>
  <si>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</si>
  <si>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</si>
  <si>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</si>
  <si>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</si>
  <si>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</si>
  <si>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</si>
  <si>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</si>
  <si>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</si>
  <si>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t>WORKSHEET 2</t>
  </si>
  <si>
    <t>Rating Category   (s514-518)</t>
  </si>
  <si>
    <t xml:space="preserve">Name of 
sub-category </t>
  </si>
  <si>
    <t>Number of Assess-ments</t>
  </si>
  <si>
    <t>Ad Valorem Rate</t>
  </si>
  <si>
    <t>Base Amount %</t>
  </si>
  <si>
    <t>Number on Minimum</t>
  </si>
  <si>
    <t>Land Value
(see note above)</t>
  </si>
  <si>
    <t>Land Value of Land on Minimum</t>
  </si>
  <si>
    <t>CAT</t>
  </si>
  <si>
    <t>SUBCAT</t>
  </si>
  <si>
    <t>NO_ASSESS</t>
  </si>
  <si>
    <t>ADVAL</t>
  </si>
  <si>
    <t>BASE$</t>
  </si>
  <si>
    <t>MIN</t>
  </si>
  <si>
    <t>NO_MIN</t>
  </si>
  <si>
    <t>LANDVAL</t>
  </si>
  <si>
    <t>LANDVAL_MIN</t>
  </si>
  <si>
    <t>NOT_REV</t>
  </si>
  <si>
    <t>Farmland</t>
  </si>
  <si>
    <t>&gt;0</t>
  </si>
  <si>
    <t>Residential</t>
  </si>
  <si>
    <t>Mining</t>
  </si>
  <si>
    <t>Business</t>
  </si>
  <si>
    <t>Total Assessments:</t>
  </si>
  <si>
    <t>Total Rateable Land Value:</t>
  </si>
  <si>
    <t>Sub-Total:</t>
  </si>
  <si>
    <r>
      <t>Note:</t>
    </r>
    <r>
      <rPr>
        <sz val="10"/>
        <rFont val="Arial"/>
        <family val="2"/>
      </rPr>
      <t xml:space="preserve"> Section </t>
    </r>
    <r>
      <rPr>
        <b/>
        <sz val="10"/>
        <rFont val="Arial"/>
        <family val="2"/>
      </rPr>
      <t>505(a)</t>
    </r>
    <r>
      <rPr>
        <sz val="10"/>
        <rFont val="Arial"/>
        <family val="2"/>
      </rPr>
      <t xml:space="preserve"> of the Act provides for those rates and charges that are to be included in general income, including certain section 501 annual charges.</t>
    </r>
  </si>
  <si>
    <t>WORKSHEET 3</t>
  </si>
  <si>
    <t>LESS: Valuation Objection Income - Proposed</t>
  </si>
  <si>
    <t>WORKSHEET 4</t>
  </si>
  <si>
    <t>Less:</t>
  </si>
  <si>
    <t>Plus:</t>
  </si>
  <si>
    <t>Minus:</t>
  </si>
  <si>
    <t>Category</t>
  </si>
  <si>
    <t xml:space="preserve">APPLICATION FOR A SPECIAL VARIATION </t>
  </si>
  <si>
    <t>TO GENERAL INCOME</t>
  </si>
  <si>
    <t>NOTE:</t>
  </si>
  <si>
    <t>►</t>
  </si>
  <si>
    <t>u</t>
  </si>
  <si>
    <t>w</t>
  </si>
  <si>
    <t>Worksheet 4 - Calculation</t>
  </si>
  <si>
    <t>This part of the application must be completed in conjunction with Part B</t>
  </si>
  <si>
    <t>Plus/Minus:</t>
  </si>
  <si>
    <t xml:space="preserve">  THE INDEPENDENT PRICING AND REGULATORY TRIBUNAL OF NSW</t>
  </si>
  <si>
    <t>Annual Charges</t>
  </si>
  <si>
    <t>Note:</t>
  </si>
  <si>
    <t>Contact Details:</t>
  </si>
  <si>
    <t>Y 1</t>
  </si>
  <si>
    <t>Y 2</t>
  </si>
  <si>
    <t>Y 3</t>
  </si>
  <si>
    <t>Y 4</t>
  </si>
  <si>
    <t>Y 5</t>
  </si>
  <si>
    <t>Y 6</t>
  </si>
  <si>
    <t>Y 7</t>
  </si>
  <si>
    <t xml:space="preserve">                 </t>
  </si>
  <si>
    <t>Number of Assessments</t>
  </si>
  <si>
    <t>Ordinary and Special Rates - with special variation</t>
  </si>
  <si>
    <t>Rate peg only</t>
  </si>
  <si>
    <t>SV (inc. rate peg)</t>
  </si>
  <si>
    <t>2 years</t>
  </si>
  <si>
    <t>3 years</t>
  </si>
  <si>
    <t>4 years</t>
  </si>
  <si>
    <t>5 years</t>
  </si>
  <si>
    <t>6 years</t>
  </si>
  <si>
    <t>7 years</t>
  </si>
  <si>
    <t>Yes - fully the same</t>
  </si>
  <si>
    <t>Partly the same</t>
  </si>
  <si>
    <t>Not the same</t>
  </si>
  <si>
    <t>In part</t>
  </si>
  <si>
    <t>Y 0</t>
  </si>
  <si>
    <t>Expiring special variations questions</t>
  </si>
  <si>
    <t>No. of years</t>
  </si>
  <si>
    <t>Existing special variation due to expire</t>
  </si>
  <si>
    <t>If a second expiring variation</t>
  </si>
  <si>
    <t>Continue funding from expiring variation?</t>
  </si>
  <si>
    <t>Same purpose for continued funding?</t>
  </si>
  <si>
    <t xml:space="preserve">  Name:</t>
  </si>
  <si>
    <t xml:space="preserve">  Position:</t>
  </si>
  <si>
    <t xml:space="preserve"> Telephone:</t>
  </si>
  <si>
    <t>Select 1st yr</t>
  </si>
  <si>
    <t>Requested annual percentage increases</t>
  </si>
  <si>
    <t>WORKSHEET 6</t>
  </si>
  <si>
    <t>Year 1</t>
  </si>
  <si>
    <t>Year 2</t>
  </si>
  <si>
    <t>Year 3</t>
  </si>
  <si>
    <t>Year 4</t>
  </si>
  <si>
    <t>Year 5</t>
  </si>
  <si>
    <t>Year 6</t>
  </si>
  <si>
    <t>Year 7</t>
  </si>
  <si>
    <t>Year 8</t>
  </si>
  <si>
    <t>Year 9</t>
  </si>
  <si>
    <t>Year 10</t>
  </si>
  <si>
    <t>Ordinary and Special Rates - without special variation</t>
  </si>
  <si>
    <t>Sum of 10 years</t>
  </si>
  <si>
    <t>Ordinary Residential Rates - with proposed special variation</t>
  </si>
  <si>
    <t>Ordinary Business Rates - with proposed special variation</t>
  </si>
  <si>
    <t>$100,000 to $199,999</t>
  </si>
  <si>
    <t>$200,000 to $299,999</t>
  </si>
  <si>
    <t>$300,000 to $399,999</t>
  </si>
  <si>
    <t>$400,000 to $499,999</t>
  </si>
  <si>
    <t>$500,000 to $599,999</t>
  </si>
  <si>
    <t>$600,000 to $699,999</t>
  </si>
  <si>
    <t>$700,000 to $799,999</t>
  </si>
  <si>
    <t>$800,000 to $899,999</t>
  </si>
  <si>
    <t>$900,000 to $999,999</t>
  </si>
  <si>
    <t>Land Value</t>
  </si>
  <si>
    <t>$1,000,000 to $1,499,999</t>
  </si>
  <si>
    <t>$1,500,000 to $1,999,999</t>
  </si>
  <si>
    <t>$2,000,000 to $2,999,999</t>
  </si>
  <si>
    <t>Land value (for calculation of rates)</t>
  </si>
  <si>
    <t>Increases
Year 1</t>
  </si>
  <si>
    <t>Increases
Year 2</t>
  </si>
  <si>
    <t>Increases
Year 3</t>
  </si>
  <si>
    <t>Increases
Year 4</t>
  </si>
  <si>
    <t>Increases
Year 5</t>
  </si>
  <si>
    <t>Increases
Year 6</t>
  </si>
  <si>
    <t>Increases
Year 7</t>
  </si>
  <si>
    <t>Ordinary Residential Rates</t>
  </si>
  <si>
    <t>Ordinary Business Rates</t>
  </si>
  <si>
    <t>Ordinary Farmland Rates</t>
  </si>
  <si>
    <t>Ordinary Farmland Rates - with proposed special variation</t>
  </si>
  <si>
    <t>WORKSHEET 1</t>
  </si>
  <si>
    <t>Change timing</t>
  </si>
  <si>
    <t>date</t>
  </si>
  <si>
    <t>Sub-category or Special Rate name</t>
  </si>
  <si>
    <t>Other First Year Adjustments:</t>
  </si>
  <si>
    <t>Year 0 (Current Rate)</t>
  </si>
  <si>
    <t>Sydney Council, The City of</t>
  </si>
  <si>
    <t>Calculation of Notional General Income - Ordinary Rates</t>
  </si>
  <si>
    <t>Valuation Objections claimed in prior year</t>
  </si>
  <si>
    <t xml:space="preserve">      It also aims to compare average rates with and without the proposed special variation.</t>
  </si>
  <si>
    <t>Annual % increase</t>
  </si>
  <si>
    <t>Cumulative % increase</t>
  </si>
  <si>
    <t>Expiring special variations (SVs)</t>
  </si>
  <si>
    <t xml:space="preserve">     The aim of this sheet is to show the minimum rate increase (if applicable), the average rate increase per sub-category</t>
  </si>
  <si>
    <t xml:space="preserve">    Note: rate estimates should reflect expected minimum or average rates, inclusive of any expiring variations.</t>
  </si>
  <si>
    <t>Minimum Increases
Year 1</t>
  </si>
  <si>
    <t>Minimum Increases
Year 2</t>
  </si>
  <si>
    <t>Minimum Increases
Year 3</t>
  </si>
  <si>
    <t>Minimum Increases
Year 4</t>
  </si>
  <si>
    <t>Minimum Increases
Year 5</t>
  </si>
  <si>
    <t>Minimum Increases
Year 6</t>
  </si>
  <si>
    <t>Minimum Increases
Year 7</t>
  </si>
  <si>
    <t>Average Ordinary and Special Rates - with proposed special variation</t>
  </si>
  <si>
    <t>Average Ordinary and Special Rates - without special variation (assumed rate peg only)</t>
  </si>
  <si>
    <t>IMPACT ON MINIMUM RATES, AVERAGE RATES AND OTHER CHARGES</t>
  </si>
  <si>
    <t xml:space="preserve">    Minimum Rates - with proposed special variation</t>
  </si>
  <si>
    <t>Ordinary and Special Average Rates</t>
  </si>
  <si>
    <t xml:space="preserve">      (inclusive of all relevant rates) and the proposed annual charges in each year of the proposed special variation.</t>
  </si>
  <si>
    <t>Guidelines for the preparation of an application for a special variation to general income</t>
  </si>
  <si>
    <t>Worksheet 5a - Impact on Ratepayers (part 1)</t>
  </si>
  <si>
    <t>Worksheet 5b - Impact on Ratepayers (part 2)</t>
  </si>
  <si>
    <t>WORKSHEET 5a</t>
  </si>
  <si>
    <t>WORKSHEET 5b</t>
  </si>
  <si>
    <t>Notional General Income</t>
  </si>
  <si>
    <t>Adjusted Notional General income</t>
  </si>
  <si>
    <t>Above the rate peg</t>
  </si>
  <si>
    <t>Expiring Special Variation</t>
  </si>
  <si>
    <t>Special Variation % increase requested</t>
  </si>
  <si>
    <t>Notional General Income after SV% applied</t>
  </si>
  <si>
    <t>Other 1st-year adjustments</t>
  </si>
  <si>
    <t>- in % terms</t>
  </si>
  <si>
    <t>Cumulative PGI under the SV</t>
  </si>
  <si>
    <t>Cumulative rise in PGI above the Rate Peg</t>
  </si>
  <si>
    <t>Cumulative PGI under the Rate Peg</t>
  </si>
  <si>
    <t>Cumulative rise in PGI if expiring SV renewed and Rate Peg applied</t>
  </si>
  <si>
    <t>Cumulative rise in PGI above renewed ESV and Rate Peg</t>
  </si>
  <si>
    <t>Increase in Permissable General Income (PGI)</t>
  </si>
  <si>
    <t>Permissible General Income (PGI)</t>
  </si>
  <si>
    <t>Annual % increase in PGI</t>
  </si>
  <si>
    <t>PGI if only the Rate Peg applied</t>
  </si>
  <si>
    <t>PGI if expiring SV renewed and Rate Peg applied</t>
  </si>
  <si>
    <t>Total rise in PGI - in $ terms</t>
  </si>
  <si>
    <t>Has the council had a general land revaluation in Year 0?:</t>
  </si>
  <si>
    <t>Tony Camenzuli</t>
  </si>
  <si>
    <t>tony_camenzuli@ipart.nsw.gov.au</t>
  </si>
  <si>
    <t>02 9113 7706</t>
  </si>
  <si>
    <t>Land Valuation question WK5a</t>
  </si>
  <si>
    <t>Where a council has received a general land revaluation in Year 0, the increase in rates between between Year 0 and Year 1, and 
all subsequent cumulative increases, in the tables below, will not be indicative of ratepayer impact. Please complete the tables using the number of assessments from the first year of the special variation period (Year 1) as IPART will still consider the impact for increases after Year 1.</t>
  </si>
  <si>
    <t xml:space="preserve">Notional
Income
</t>
  </si>
  <si>
    <t xml:space="preserve">Notional Income
</t>
  </si>
  <si>
    <t>Total Notional General Income</t>
  </si>
  <si>
    <r>
      <t>NET</t>
    </r>
    <r>
      <rPr>
        <b/>
        <sz val="12"/>
        <rFont val="Arial"/>
        <family val="2"/>
      </rPr>
      <t xml:space="preserve">   Notional General Income</t>
    </r>
  </si>
  <si>
    <t>This worksheet is designed to show how the council proposes to use the additional funding</t>
  </si>
  <si>
    <t>Proposed Additional Special Variation Income and Expenditure</t>
  </si>
  <si>
    <t>PROPOSED ADDITIONAL SPECIAL VARIATION INCOME AND EXPENDITURE</t>
  </si>
  <si>
    <t>INCOME</t>
  </si>
  <si>
    <t>SRV income above the rate peg</t>
  </si>
  <si>
    <t>OPERATING EXPENSES</t>
  </si>
  <si>
    <t>CAPITAL EXPENDITURE</t>
  </si>
  <si>
    <t>Worksheet 6 - Proposed Additional SRV Income and Expenditure</t>
  </si>
  <si>
    <t xml:space="preserve">The spreadsheet will calculate the difference between the additional income from the special variation </t>
  </si>
  <si>
    <t>Enquiries regarding the completion of this application should be directed to:</t>
  </si>
  <si>
    <t>Issue Date: 09/13</t>
  </si>
  <si>
    <t>Part A consists of 7 worksheets:</t>
  </si>
  <si>
    <t>Note: IPART can approve a percentage increase to minimum rates above the statutory limit that differs from the</t>
  </si>
  <si>
    <t>special variation percentage increase as long as you have justified and properly consulted on that percentage.</t>
  </si>
  <si>
    <t>Both Part A and Part B of the application should be submitted to IPART (us) via the Council Portal on our</t>
  </si>
  <si>
    <r>
      <t>Worksheet 1 (Identification):</t>
    </r>
    <r>
      <rPr>
        <sz val="12"/>
        <rFont val="Arial"/>
        <family val="2"/>
      </rPr>
      <t xml:space="preserve"> Identifies your council and a council contact officer, collects information</t>
    </r>
  </si>
  <si>
    <t>for each category/sub-category for each year of the SV, with and without the SV.</t>
  </si>
  <si>
    <t>distribution (ie, midpoints of each land value range) for each year of the SV.</t>
  </si>
  <si>
    <r>
      <t>Worksheet 6 (Additional SV Income and Expenditure):</t>
    </r>
    <r>
      <rPr>
        <sz val="12"/>
        <rFont val="Arial"/>
        <family val="2"/>
      </rPr>
      <t xml:space="preserve"> Collects how you intend to use the</t>
    </r>
  </si>
  <si>
    <t xml:space="preserve">additional funds (above the rate peg) from the SV. </t>
  </si>
  <si>
    <t>Step-by-step instructions on completing the worksheets are provided below.</t>
  </si>
  <si>
    <t>If the council does not have any SVs due to expire in the period of the</t>
  </si>
  <si>
    <t>The cumulative increase in general income due to the SV inclusive of the rate peg</t>
  </si>
  <si>
    <t>rating structure used in the previous year to land values, adjusted by supplementary valuations</t>
  </si>
  <si>
    <t>across various land value ranges in 2014/15, and the rate levels across different land values in each year</t>
  </si>
  <si>
    <t>of the application, with and without the proposed SV.</t>
  </si>
  <si>
    <t>If you have had a general revaluation of land during the prior year this spreadsheet will not accurately</t>
  </si>
  <si>
    <t>refect the impact on ratepayers in year 1.  We will take this into account when using this worksheet.</t>
  </si>
  <si>
    <t xml:space="preserve">above the rate peg generated from the SV.  </t>
  </si>
  <si>
    <t>* Part B of the application provides councils with the opportunity to explain their expenditure plans</t>
  </si>
  <si>
    <t>and the impacts on their financial position.</t>
  </si>
  <si>
    <t>Yes - 30 Jun 2015 expiry</t>
  </si>
  <si>
    <t>Yes - 30 Jun 2016 expiry</t>
  </si>
  <si>
    <t>Yes - 30 Jun 2017 expiry</t>
  </si>
  <si>
    <t>Yes - 30 Jun 2018 expiry</t>
  </si>
  <si>
    <t>Yes - 30 Jun 2019 expiry</t>
  </si>
  <si>
    <t>Yes - 30 Jun 2020 expiry</t>
  </si>
  <si>
    <t>Yes - 30 Jun 2021 expiry</t>
  </si>
  <si>
    <t>&amp; another 30 June 2016 expiry</t>
  </si>
  <si>
    <t>&amp; another 30 June 2017 expiry</t>
  </si>
  <si>
    <t>&amp; another 30 June 2018 expiry</t>
  </si>
  <si>
    <t>&amp; another 30 June 2019 expiry</t>
  </si>
  <si>
    <t>&amp; another 30 June 2020 expiry</t>
  </si>
  <si>
    <t>&amp; another 30 June 2021 expiry</t>
  </si>
  <si>
    <t>Note: Approved SV% increases do not change if the actual rate peg turns out to be different from that assumed for a particular year.</t>
  </si>
  <si>
    <t>Total % rise in PGI under the SV that exceeds the rise in the PGI under renewed ESV and rate peg</t>
  </si>
  <si>
    <t>website at www.ipart.nsw.gov.au. A hardcopy should also be forwarded to us (see Guidelines for details).</t>
  </si>
  <si>
    <t>Notional General 
Income</t>
  </si>
  <si>
    <t>Notional General
Income</t>
  </si>
  <si>
    <r>
      <t xml:space="preserve">Total Notional General Income </t>
    </r>
    <r>
      <rPr>
        <sz val="10"/>
        <color indexed="10"/>
        <rFont val="Arial"/>
        <family val="2"/>
      </rPr>
      <t>(WK3)</t>
    </r>
  </si>
  <si>
    <r>
      <t xml:space="preserve">to be recouped in this year </t>
    </r>
    <r>
      <rPr>
        <sz val="10"/>
        <color indexed="10"/>
        <rFont val="Arial"/>
        <family val="2"/>
      </rPr>
      <t>(WK3)</t>
    </r>
  </si>
  <si>
    <r>
      <t>NET</t>
    </r>
    <r>
      <rPr>
        <b/>
        <sz val="12"/>
        <color indexed="10"/>
        <rFont val="Arial"/>
        <family val="2"/>
      </rPr>
      <t xml:space="preserve">   First year Notional General Income</t>
    </r>
  </si>
  <si>
    <t>This worksheet calculates Permissible General Income and the value of the proposed SV after taking into</t>
  </si>
  <si>
    <t>account various adjustments.   Income adjustments and expiring SV amounts are to be verified</t>
  </si>
  <si>
    <t xml:space="preserve">Councils must enter each category of expenditure, and if applicable, individual program/project names, </t>
  </si>
  <si>
    <t>in column C under one of the headings provided.</t>
  </si>
  <si>
    <t>and what it is spent on.  A positive difference means that the additional income is not all spent on opex or capex.</t>
  </si>
  <si>
    <t>before submitting the application.</t>
  </si>
  <si>
    <t>See Attachment 4 of the Guidelines for further details.</t>
  </si>
  <si>
    <t>The annual and cumulative increases in permissible general income will</t>
  </si>
  <si>
    <t xml:space="preserve">Cumulative Increase in PGI </t>
  </si>
  <si>
    <t>OTHER USES OF SV INCOME eg loan principal repayments, transfers to reserves</t>
  </si>
  <si>
    <t>Total use of special variation income</t>
  </si>
  <si>
    <t>Difference between additional SRV income and its uses</t>
  </si>
  <si>
    <t>OPERATING BALANCE</t>
  </si>
  <si>
    <r>
      <t>1</t>
    </r>
    <r>
      <rPr>
        <b/>
        <sz val="7"/>
        <color indexed="56"/>
        <rFont val="Times New Roman"/>
        <family val="1"/>
      </rPr>
      <t xml:space="preserve">            </t>
    </r>
    <r>
      <rPr>
        <b/>
        <sz val="15"/>
        <color indexed="56"/>
        <rFont val="Arial"/>
        <family val="2"/>
      </rPr>
      <t>Determination</t>
    </r>
  </si>
  <si>
    <t>Annual increases</t>
  </si>
  <si>
    <t>Cumulative increases</t>
  </si>
  <si>
    <r>
      <t>1.1</t>
    </r>
    <r>
      <rPr>
        <b/>
        <sz val="7"/>
        <color indexed="56"/>
        <rFont val="Times New Roman"/>
        <family val="1"/>
      </rPr>
      <t xml:space="preserve">         </t>
    </r>
    <r>
      <rPr>
        <b/>
        <sz val="12"/>
        <color indexed="56"/>
        <rFont val="Arial"/>
        <family val="2"/>
      </rPr>
      <t>Our decision</t>
    </r>
  </si>
  <si>
    <t>Cum increase above Rate peg</t>
  </si>
  <si>
    <t>Table 1.1</t>
  </si>
  <si>
    <t>Increase approved %</t>
  </si>
  <si>
    <t>Cumulative increase approved %</t>
  </si>
  <si>
    <t>increase in</t>
  </si>
  <si>
    <t xml:space="preserve">($)  </t>
  </si>
  <si>
    <t>Box 1.2</t>
  </si>
  <si>
    <t xml:space="preserve">Conditions attached </t>
  </si>
  <si>
    <r>
      <t>2</t>
    </r>
    <r>
      <rPr>
        <b/>
        <sz val="7"/>
        <color indexed="56"/>
        <rFont val="Times New Roman"/>
        <family val="1"/>
      </rPr>
      <t xml:space="preserve">            </t>
    </r>
    <r>
      <rPr>
        <b/>
        <sz val="15"/>
        <color indexed="56"/>
        <rFont val="Arial"/>
        <family val="2"/>
      </rPr>
      <t>What did the council request and why?</t>
    </r>
  </si>
  <si>
    <t>Additional capex</t>
  </si>
  <si>
    <t>Additional opex</t>
  </si>
  <si>
    <t>cum</t>
  </si>
  <si>
    <t>annual spend</t>
  </si>
  <si>
    <r>
      <t>3</t>
    </r>
    <r>
      <rPr>
        <b/>
        <sz val="7"/>
        <color indexed="56"/>
        <rFont val="Times New Roman"/>
        <family val="1"/>
      </rPr>
      <t xml:space="preserve">            </t>
    </r>
    <r>
      <rPr>
        <b/>
        <sz val="15"/>
        <color indexed="56"/>
        <rFont val="Arial"/>
        <family val="2"/>
      </rPr>
      <t>How did we reach our decision?</t>
    </r>
  </si>
  <si>
    <t xml:space="preserve">Customised text </t>
  </si>
  <si>
    <r>
      <t>4</t>
    </r>
    <r>
      <rPr>
        <b/>
        <sz val="7"/>
        <color indexed="56"/>
        <rFont val="Times New Roman"/>
        <family val="1"/>
      </rPr>
      <t xml:space="preserve">            </t>
    </r>
    <r>
      <rPr>
        <b/>
        <sz val="15"/>
        <color indexed="56"/>
        <rFont val="Arial"/>
        <family val="2"/>
      </rPr>
      <t>What does our decision mean for the council?</t>
    </r>
  </si>
  <si>
    <r>
      <t>5</t>
    </r>
    <r>
      <rPr>
        <b/>
        <sz val="7"/>
        <color indexed="56"/>
        <rFont val="Times New Roman"/>
        <family val="1"/>
      </rPr>
      <t xml:space="preserve">            </t>
    </r>
    <r>
      <rPr>
        <b/>
        <sz val="15"/>
        <color indexed="56"/>
        <rFont val="Arial"/>
        <family val="2"/>
      </rPr>
      <t>What does our decision mean for ratepayers?</t>
    </r>
  </si>
  <si>
    <t>Table 5.1</t>
  </si>
  <si>
    <t xml:space="preserve">Indicative annual increases </t>
  </si>
  <si>
    <r>
      <t>A</t>
    </r>
    <r>
      <rPr>
        <b/>
        <sz val="7"/>
        <color indexed="56"/>
        <rFont val="Times New Roman"/>
        <family val="1"/>
      </rPr>
      <t xml:space="preserve">            </t>
    </r>
    <r>
      <rPr>
        <b/>
        <sz val="15"/>
        <color indexed="56"/>
        <rFont val="Arial"/>
        <family val="2"/>
      </rPr>
      <t>Expenditures to be funded from the special variation above the rate peg</t>
    </r>
  </si>
  <si>
    <t xml:space="preserve">Special variation income above rate peg  </t>
  </si>
  <si>
    <t>Funding for increased operating expenditures</t>
  </si>
  <si>
    <t>Funding for capital expenditure</t>
  </si>
  <si>
    <t>Balance of funding (impact on holding of cash and short term investments)</t>
  </si>
  <si>
    <t>Table A.1 ANNUAL SPEND</t>
  </si>
  <si>
    <t>Funding to reduce operating deficits or surpluses</t>
  </si>
  <si>
    <t>Table A.2</t>
  </si>
  <si>
    <t xml:space="preserve">Proposed capital program </t>
  </si>
  <si>
    <t>Table B.1</t>
  </si>
  <si>
    <t>Total revenue</t>
  </si>
  <si>
    <t>Total expenses</t>
  </si>
  <si>
    <t>Summary of projected operating statement - LTFP - SV SCENARIO</t>
  </si>
  <si>
    <r>
      <t>c</t>
    </r>
    <r>
      <rPr>
        <b/>
        <sz val="7"/>
        <color indexed="56"/>
        <rFont val="Times New Roman"/>
        <family val="1"/>
      </rPr>
      <t xml:space="preserve">            </t>
    </r>
    <r>
      <rPr>
        <b/>
        <sz val="15"/>
        <color indexed="56"/>
        <rFont val="Arial"/>
        <family val="2"/>
      </rPr>
      <t>Comparative indicators</t>
    </r>
  </si>
  <si>
    <t>NA</t>
  </si>
  <si>
    <t>One pager</t>
  </si>
  <si>
    <t>Residential rates growth over past 10 years</t>
  </si>
  <si>
    <t>Annual average residential rates growth over past 10 years</t>
  </si>
  <si>
    <t>Rate peg growth over past 10 years</t>
  </si>
  <si>
    <t>Extra revenue in 2014/15 above the rate peg</t>
  </si>
  <si>
    <t>Cumulative revenue in each future year above the rate peg</t>
  </si>
  <si>
    <t>Cumulative increases in average rates for each category during period of SV</t>
  </si>
  <si>
    <t>Graph showing growth in permissable general income with dotted line at end of SV period</t>
  </si>
  <si>
    <t>Net increase in rates i.e. 2014/15 compared to 2013/14 levels (net of any expiring variations)</t>
  </si>
  <si>
    <t>Fact sheet</t>
  </si>
  <si>
    <t>Yearly increase approved</t>
  </si>
  <si>
    <t>Yearly increase applied for</t>
  </si>
  <si>
    <t>Cumulative increase approved</t>
  </si>
  <si>
    <t>Cumulative increase applied for</t>
  </si>
  <si>
    <t>Media release</t>
  </si>
  <si>
    <t>Average annual increase over SV period</t>
  </si>
  <si>
    <t>LG Database</t>
  </si>
  <si>
    <t>Tribunal briefing</t>
  </si>
  <si>
    <t>SV increase per week (average residential)</t>
  </si>
  <si>
    <t>Annual $ increase in PGI</t>
  </si>
  <si>
    <t>Annual $ increase in PGI above the rate peg</t>
  </si>
  <si>
    <t>CUMULATIVE TOTALS BY YEAR</t>
  </si>
  <si>
    <t>Income from Continuing Operations</t>
  </si>
  <si>
    <t>Revenue:</t>
  </si>
  <si>
    <t>Rates &amp; Annual Charges</t>
  </si>
  <si>
    <t>User Charges &amp; Fees</t>
  </si>
  <si>
    <t>Interest &amp; Investment Revenue</t>
  </si>
  <si>
    <t>Other Revenues</t>
  </si>
  <si>
    <t>Grants &amp; Contributions Op Purposes</t>
  </si>
  <si>
    <t>Grants &amp; Contributions Capital Purposes</t>
  </si>
  <si>
    <t>Other Income:</t>
  </si>
  <si>
    <t>Net gains from disposal of assets</t>
  </si>
  <si>
    <t>Total Income Continuing Operations</t>
  </si>
  <si>
    <t>Expenses from Continuing Operations</t>
  </si>
  <si>
    <t>Employee Benefits &amp; On-costs</t>
  </si>
  <si>
    <t>Materials &amp; Contracts</t>
  </si>
  <si>
    <t>Depreciation &amp; Amortisation</t>
  </si>
  <si>
    <t>Other Expenses</t>
  </si>
  <si>
    <t>Total expenses continuing operations</t>
  </si>
  <si>
    <t>Operating result from continuing operations</t>
  </si>
  <si>
    <t>Base case (no SV) Income and Expenditure</t>
  </si>
  <si>
    <t>Difference between SV scenario and Base Case</t>
  </si>
  <si>
    <t>Increase in rates and annual charges</t>
  </si>
  <si>
    <t>TOTAL AVERAGE</t>
  </si>
  <si>
    <t>WORKSHEET 7</t>
  </si>
  <si>
    <t>LONG TERM FINANCIAL PLAN - SV SCENARIO AND BASE CASE</t>
  </si>
  <si>
    <t>Growth in employee numbers</t>
  </si>
  <si>
    <t>KEY ASSUMPTIONS</t>
  </si>
  <si>
    <t>Year 0</t>
  </si>
  <si>
    <t>Yes - 30 Jun 2022 expiry</t>
  </si>
  <si>
    <t>&amp; another 30 June 2022 expiry</t>
  </si>
  <si>
    <t>Permanent</t>
  </si>
  <si>
    <t>1 year</t>
  </si>
  <si>
    <t>8 years</t>
  </si>
  <si>
    <t>9 years</t>
  </si>
  <si>
    <t>10 years</t>
  </si>
  <si>
    <t>11 years</t>
  </si>
  <si>
    <t>12 years</t>
  </si>
  <si>
    <t>13 years</t>
  </si>
  <si>
    <t>14 years</t>
  </si>
  <si>
    <t>15 years</t>
  </si>
  <si>
    <t>16 years</t>
  </si>
  <si>
    <t>17 years</t>
  </si>
  <si>
    <t>18 years</t>
  </si>
  <si>
    <t>19 years</t>
  </si>
  <si>
    <t>20 years</t>
  </si>
  <si>
    <t>Name of special rate</t>
  </si>
  <si>
    <t>Special rate</t>
  </si>
  <si>
    <t>OPERATING EXPENSES (includes loan interest costs)</t>
  </si>
  <si>
    <t>(please enter assumed % figure for each year)</t>
  </si>
  <si>
    <t>Calculation of Notional General Income- 2014/15</t>
  </si>
  <si>
    <t>Calculation of Notional General Income - 2015/16</t>
  </si>
  <si>
    <t>Pemissable General Income (PGI)</t>
  </si>
  <si>
    <t>Total increase</t>
  </si>
  <si>
    <t>Total % increase</t>
  </si>
  <si>
    <t>Increase in Permissable General Income (PGI) &amp; Notional General Income (NGI)</t>
  </si>
  <si>
    <t>Derive from council application</t>
  </si>
  <si>
    <t>Years</t>
  </si>
  <si>
    <t>Annual rate peg increase</t>
  </si>
  <si>
    <t>Prior year adjusted Notional General Income</t>
  </si>
  <si>
    <t>Annual total</t>
  </si>
  <si>
    <t>Annual TOTAL</t>
  </si>
  <si>
    <t>WITHOUT SPECIAL VARIATION</t>
  </si>
  <si>
    <t>TOTAL INCOME FROM RESIDENTIAL</t>
  </si>
  <si>
    <t>Total Business</t>
  </si>
  <si>
    <t>Total Residential</t>
  </si>
  <si>
    <t>Total Farmland</t>
  </si>
  <si>
    <t>Total Mining</t>
  </si>
  <si>
    <t>Increase in rates and annual charges as a percentage</t>
  </si>
  <si>
    <t>Average residential rate % increase</t>
  </si>
  <si>
    <t>Average residential rate % cumulative increase</t>
  </si>
  <si>
    <t>Average businessl rate % increase</t>
  </si>
  <si>
    <t>Average business rate % cumulative increase</t>
  </si>
  <si>
    <t>Average farmland rate % increase</t>
  </si>
  <si>
    <t>Average farmland rate % cumulative increase</t>
  </si>
  <si>
    <t>Average mining rate % increase</t>
  </si>
  <si>
    <t>Average mining rate % cumulative increase</t>
  </si>
  <si>
    <t>annual</t>
  </si>
  <si>
    <t>cumulative</t>
  </si>
  <si>
    <t>Step 1: Fill out council details</t>
  </si>
  <si>
    <t>Step 2: Fill out any expiring variation information</t>
  </si>
  <si>
    <t>Step 3: Fill out crown land adjustments, catch up &amp; excess, valuation objections</t>
  </si>
  <si>
    <t>Step 4: Fill out special variation amounts</t>
  </si>
  <si>
    <t>Crown land adjustments, catch ups, valuation objections</t>
  </si>
  <si>
    <t>Special variations (SVs)</t>
  </si>
  <si>
    <t>Average business rate % increase</t>
  </si>
  <si>
    <t xml:space="preserve">This worksheet is for IPART Analyst use only. </t>
  </si>
  <si>
    <t xml:space="preserve">The figures below have been drawn from other parts of this worksheet. </t>
  </si>
  <si>
    <t>SV Assessment template - s508A or s508(2)</t>
  </si>
  <si>
    <t>OR the increase will remain in the council's rate base for X years</t>
  </si>
  <si>
    <t>They are assembled below in the order you need them to fill out your assessment report.</t>
  </si>
  <si>
    <t>Expiring special variation</t>
  </si>
  <si>
    <t>1. Is the council applying for a one-year increase (s508(2)) or a multi-year increase (s508A)?</t>
  </si>
  <si>
    <t>s508(2)</t>
  </si>
  <si>
    <t>s508A</t>
  </si>
  <si>
    <r>
      <t>2. For</t>
    </r>
    <r>
      <rPr>
        <b/>
        <sz val="12"/>
        <rFont val="Arial"/>
        <family val="2"/>
      </rPr>
      <t xml:space="preserve"> s508A</t>
    </r>
    <r>
      <rPr>
        <sz val="12"/>
        <rFont val="Arial"/>
        <family val="2"/>
      </rPr>
      <t xml:space="preserve"> applications: for how many years is the council requesting % increases as part of this application?</t>
    </r>
  </si>
  <si>
    <t>8. Enter the amount of any crown land adjustments required</t>
  </si>
  <si>
    <t>9. Enter the amount for any catch ups or excess adjustments required</t>
  </si>
  <si>
    <t>Fund existing service levels (i.e. libraries)</t>
  </si>
  <si>
    <t>Fund new/enhanced service levels (i.e. sustainability program)</t>
  </si>
  <si>
    <t>permissable general income</t>
  </si>
  <si>
    <t>dependent on Tribunal decision - see row 72 if approved in full</t>
  </si>
  <si>
    <t>% value of expiring special variation</t>
  </si>
  <si>
    <t>Ad Valorem Rate (cents)</t>
  </si>
  <si>
    <t>TOTAL INCOME FROM BUSINESS</t>
  </si>
  <si>
    <t>TOTAL INCOME FROM FARMLAND</t>
  </si>
  <si>
    <t>TOTAL INCOME FROM MINING</t>
  </si>
  <si>
    <t>Change in Operating Balance due to SV</t>
  </si>
  <si>
    <t>Growth in labour costs</t>
  </si>
  <si>
    <t>Planned operating cost savings</t>
  </si>
  <si>
    <t>Before completing this form, you MUST read the Office of Local Government's</t>
  </si>
  <si>
    <t>(Special Variation Application Form 2015/16 - Part B)</t>
  </si>
  <si>
    <t>You must identify the percentage increase requested for each year inclusive of the rate peg</t>
  </si>
  <si>
    <t>each year, up to a maximum of 7 years.</t>
  </si>
  <si>
    <t xml:space="preserve">for the current year (year 0 in the application, 2014/15). </t>
  </si>
  <si>
    <t>Income for next year (year 1 in the application, 2015/16).</t>
  </si>
  <si>
    <r>
      <t>Worksheet 7 (Long Term Financial Plan):</t>
    </r>
    <r>
      <rPr>
        <sz val="12"/>
        <rFont val="Arial"/>
        <family val="2"/>
      </rPr>
      <t xml:space="preserve"> Collects information on your Long Term Financial Plan</t>
    </r>
  </si>
  <si>
    <t>including scenarios with and without the proposed special variation</t>
  </si>
  <si>
    <t>Michael Solo</t>
  </si>
  <si>
    <t>02 9290 8458</t>
  </si>
  <si>
    <t>michael_solo@ipart.nsw.gov.au</t>
  </si>
  <si>
    <t>Worksheet 7 - Long Term Financial Plan</t>
  </si>
  <si>
    <t>This worksheet is designed to show how the council's Long Term Financial Plan varies</t>
  </si>
  <si>
    <t>with and without the proposed special variation</t>
  </si>
  <si>
    <t>Councils must enter each category of income and expenditure under the headings provided</t>
  </si>
  <si>
    <t>and what it is spent on.</t>
  </si>
  <si>
    <t>This worksheet automatically calculates total amounts for each column</t>
  </si>
  <si>
    <t>Additional other expenses</t>
  </si>
  <si>
    <t>Net loss from disposal of assets</t>
  </si>
  <si>
    <t>Change over 10 years ($)</t>
  </si>
  <si>
    <t>Change over 10 years (%)</t>
  </si>
  <si>
    <t>The council requested annual increases of X%, Y% etc. over the next Z years, or a cumulative increase of A% by 20XX/XX</t>
  </si>
  <si>
    <t xml:space="preserve">After the last year of the special variation, the increase will remain </t>
  </si>
  <si>
    <t xml:space="preserve">permanently in the council’s rate base </t>
  </si>
  <si>
    <t>We note the council will be reducing its general income for 20XX/XX by $X - the value of the expiring special variation</t>
  </si>
  <si>
    <t>The council will use the additional special variation revenue, above the rate peg, of $X.Ym over 10 years)</t>
  </si>
  <si>
    <t>$Y.Zm of operating expenditure to maintain current service levels</t>
  </si>
  <si>
    <t xml:space="preserve">$A.Bm for additional capital renewals expenditure </t>
  </si>
  <si>
    <t>Expiring %</t>
  </si>
  <si>
    <t>This sheet shows how the council's Long Term Financial Plan reflects the impact of the special variation versus its base case (no special variation).                                                                         
Enter the figures from the most recent Long Term Financial Plan over 10 years under each of the headings as relevant. 
Add or delete rows if necessary.
Below the tables, please enter the key assumptions relating to the Long Term Financial Plan. Please ensure that these figures match the latest version of the Long Term Financial Plan provided with the application and that these figures are for the GENERAL FUND ONLY.</t>
  </si>
  <si>
    <r>
      <t>under Section 508A and 508(2) of the</t>
    </r>
    <r>
      <rPr>
        <i/>
        <sz val="14"/>
        <rFont val="Arial"/>
        <family val="2"/>
      </rPr>
      <t xml:space="preserve"> Local Government Act 1993</t>
    </r>
  </si>
  <si>
    <t>SECTION 508A &amp; 508(2) APPLICATION FORM PART A 2015/16</t>
  </si>
  <si>
    <t>The Guidelines are available on the Office’s website at www.olg.nsw.gov.au.</t>
  </si>
  <si>
    <t>A Section 508A special variation allows a council to increase general income by a percentage that is greater than the rate peg</t>
  </si>
  <si>
    <t>You must also identify percentage increases in minimum rates for each year, if the increases result in a minimum rate</t>
  </si>
  <si>
    <t>which exceeds the statutory limit.</t>
  </si>
  <si>
    <t xml:space="preserve">about any special variations (SVs) due to expire and summarises the cumulative impact of the </t>
  </si>
  <si>
    <t>SV. It also collects information on valuation objections, crown land adjustments and catch up/excess.</t>
  </si>
  <si>
    <t>percentage and Crown land adjustments, plus other income adjustments.</t>
  </si>
  <si>
    <r>
      <t>Worksheet 2 (current year Notional General Income):</t>
    </r>
    <r>
      <rPr>
        <sz val="12"/>
        <rFont val="Arial"/>
        <family val="2"/>
      </rPr>
      <t xml:space="preserve"> Calculates the council's Notional General Income</t>
    </r>
  </si>
  <si>
    <r>
      <t>Worksheet 3 (first year Notional General Income):</t>
    </r>
    <r>
      <rPr>
        <sz val="12"/>
        <rFont val="Arial"/>
        <family val="2"/>
      </rPr>
      <t xml:space="preserve"> Calculates the council's proposed Notional General </t>
    </r>
  </si>
  <si>
    <r>
      <t>Worksheet 5a (Impact on Rates 1):</t>
    </r>
    <r>
      <rPr>
        <sz val="12"/>
        <rFont val="Arial"/>
        <family val="2"/>
      </rPr>
      <t xml:space="preserve"> Calculates the average annual and cumulative increases in rates</t>
    </r>
  </si>
  <si>
    <t>Please check all income adjustments and expiring variation amounts with OLG</t>
  </si>
  <si>
    <t>Expiring SV</t>
  </si>
  <si>
    <t xml:space="preserve">Notional General Income must be reduced before </t>
  </si>
  <si>
    <t>Additional percentage increase</t>
  </si>
  <si>
    <t>This is the additional percentage increase being sought</t>
  </si>
  <si>
    <t>above the rate peg, excluding any other income</t>
  </si>
  <si>
    <t>adjustments.</t>
  </si>
  <si>
    <t>Crown Land Adjustment</t>
  </si>
  <si>
    <t xml:space="preserve">Crown land claims will increase Permissable General </t>
  </si>
  <si>
    <t>Income. The $ amount of any Crown land adjustment is</t>
  </si>
  <si>
    <t>converted into a % amount to be included in the final</t>
  </si>
  <si>
    <t>special variation for consideration by IPART. Note that</t>
  </si>
  <si>
    <t>applications for Crown land adjustments still need to be</t>
  </si>
  <si>
    <t>Other adjustments</t>
  </si>
  <si>
    <t>1. Prior year result. This is the catch up or excess amount</t>
  </si>
  <si>
    <t>from the previous year, as advised by OLG.</t>
  </si>
  <si>
    <t>2. Valuation objections: if you successfully claimed valuation</t>
  </si>
  <si>
    <t>objections in the previous year, PGI must be reduced to</t>
  </si>
  <si>
    <t>remove the extra income claimed from the revenue base.</t>
  </si>
  <si>
    <t>Select council name from the drop down list (E11) and enter contact details (E14-17).</t>
  </si>
  <si>
    <t>Select the type of special variation (L21).</t>
  </si>
  <si>
    <t>Indicate whether the SV is permanent or expiring (L23) and if expiring, enter the number of years (M23)</t>
  </si>
  <si>
    <t>Enter the additional percentage being sought above the rate peg (excluding other adjustments) (L24).</t>
  </si>
  <si>
    <t>Answer the questions about expiring SVs (L27 to L30).</t>
  </si>
  <si>
    <t>requested SV and the answer is "No" in L27, leave other fields in this section blank.</t>
  </si>
  <si>
    <t>Answer the questions about Crown land adjustments, catch ups and valuation objections (L33 to L35).</t>
  </si>
  <si>
    <t>If the council does not have any adjustments, leave the fields in this section blank</t>
  </si>
  <si>
    <t>Select the requested number of years of income increases in the application (L22).</t>
  </si>
  <si>
    <t>The worksheet automatically assumes a rate peg of 3% for each of the forward years.</t>
  </si>
  <si>
    <t>If the rate peg turns out to be different from that assumed, the total % increase in general</t>
  </si>
  <si>
    <t>income with an approved SV does not change.</t>
  </si>
  <si>
    <t xml:space="preserve">The percentage increase in general income needed in year 1 of the application (D45) will </t>
  </si>
  <si>
    <t>will only populate automatically in WK1 after WK2 is completed.</t>
  </si>
  <si>
    <t>populate once WK2 and WK3 have been completed.</t>
  </si>
  <si>
    <t>Worksheet 2 - Notional General Income 2014/15</t>
  </si>
  <si>
    <t>Worksheet 3 - Notional General Income 2015/16</t>
  </si>
  <si>
    <t xml:space="preserve"> received during that year.  The calculations should be checked with OLG before applying to us. </t>
  </si>
  <si>
    <t>This worksheet is designed to show</t>
  </si>
  <si>
    <t>increases in annual charges over the period of the SV</t>
  </si>
  <si>
    <t>increases in average rates for each of the main rating categories</t>
  </si>
  <si>
    <t>Please complete the tables using the number of assessments from the first year of the SV (2015/16).</t>
  </si>
  <si>
    <t>* This worksheet is not protected to allow councils flexibility to add or delete rows.</t>
  </si>
  <si>
    <t>The worksheet automatically calculates additional SRV income for Years 1 to 10.</t>
  </si>
  <si>
    <t xml:space="preserve">7.  If the council has an expiring variation, enter the % of the original approval in full (i.e. including rate peg) </t>
  </si>
  <si>
    <t>4. Enter the percentage above the rate peg the council is applying for in the first year</t>
  </si>
  <si>
    <t>Expiry of a prior special variation</t>
  </si>
  <si>
    <t>Select the relevant figures for each section and enter them in your report.</t>
  </si>
  <si>
    <t>Permissable general income ($)</t>
  </si>
  <si>
    <t xml:space="preserve">IPART’s determination on XYZ Council's special variation for 2014/15 to 20XX/YY </t>
  </si>
  <si>
    <t>NOTE THE FIGURES BELOW ARE BASED ON A FULL APPROVAL, YOU WILL NEED TO CHECK THE TRIBUNAL'S DECISION BEFORE COMPLETING THIS SECTION</t>
  </si>
  <si>
    <t>Our decision means that XYZ Council may increase its general</t>
  </si>
  <si>
    <t xml:space="preserve">in 20XX/XX </t>
  </si>
  <si>
    <t>income over the X-year period from $Xm in 20XX/XX to $Ym</t>
  </si>
  <si>
    <t>The council estimates that over these X years, the additional</t>
  </si>
  <si>
    <t>rates revenue will accumulate to $Xm above the rate peg increase</t>
  </si>
  <si>
    <t>See Worksheet 6</t>
  </si>
  <si>
    <r>
      <t>3. For</t>
    </r>
    <r>
      <rPr>
        <b/>
        <sz val="12"/>
        <rFont val="Arial"/>
        <family val="2"/>
      </rPr>
      <t xml:space="preserve"> s508A</t>
    </r>
    <r>
      <rPr>
        <sz val="12"/>
        <rFont val="Arial"/>
        <family val="2"/>
      </rPr>
      <t xml:space="preserve"> &amp; </t>
    </r>
    <r>
      <rPr>
        <b/>
        <sz val="12"/>
        <rFont val="Arial"/>
        <family val="2"/>
      </rPr>
      <t>s508(2)</t>
    </r>
    <r>
      <rPr>
        <sz val="12"/>
        <rFont val="Arial"/>
        <family val="2"/>
      </rPr>
      <t xml:space="preserve"> applications: is the special variation permanent or temporary? If temporary, enter the number of years.</t>
    </r>
  </si>
  <si>
    <t>Temporary</t>
  </si>
  <si>
    <r>
      <t xml:space="preserve">catch ups/excesses and valuation objections. </t>
    </r>
    <r>
      <rPr>
        <i/>
        <sz val="12"/>
        <rFont val="Arial"/>
        <family val="2"/>
      </rPr>
      <t xml:space="preserve"> </t>
    </r>
  </si>
  <si>
    <t xml:space="preserve">Section 508(2) allows a council to increase general income by a percentage that is greater than the rate peg in a single year. </t>
  </si>
  <si>
    <t>Growth in assessment numbers</t>
  </si>
  <si>
    <t>Income excluding capital grants and contributions</t>
  </si>
  <si>
    <t>Net operating result before capital grants and contributions</t>
  </si>
  <si>
    <t>Borrowing Costs (i.e. interest costs)</t>
  </si>
  <si>
    <t>SV scenario</t>
  </si>
  <si>
    <t>Base case</t>
  </si>
  <si>
    <t xml:space="preserve">We determined that XYZ Council may increase its general income </t>
  </si>
  <si>
    <t>by the annual percentages shown in Table 1.1. The annual increases</t>
  </si>
  <si>
    <t xml:space="preserve"> incorporate the rate peg to which the council would otherwise be entitled </t>
  </si>
  <si>
    <t xml:space="preserve">(X% in 2015/16 and an assumed 3.0% in each of the following years).  </t>
  </si>
  <si>
    <t xml:space="preserve">The cumulative increase of X% is Y% above the expected </t>
  </si>
  <si>
    <t>rate peg over the period to 20##/##</t>
  </si>
  <si>
    <t>cumulative X% over the Y-year period from 20XX/XX to 20XX/XX</t>
  </si>
  <si>
    <t>XYZ Council applied to increase its general income by a</t>
  </si>
  <si>
    <t>The council estimated that if its requested special variation</t>
  </si>
  <si>
    <t xml:space="preserve">$X.Ym in 20XX/XX to $A.Bm in 20XX/XX.  </t>
  </si>
  <si>
    <t xml:space="preserve">is approved, its permissible general income will increase from </t>
  </si>
  <si>
    <t>This will generate additional revenue over the X years of</t>
  </si>
  <si>
    <t>$Ym above the rate peg increase</t>
  </si>
  <si>
    <t xml:space="preserve">Over the next 10 years, the special variation will generate </t>
  </si>
  <si>
    <t xml:space="preserve">additional revenue of $Xm above the rate peg increase.  </t>
  </si>
  <si>
    <t xml:space="preserve">Average residential rates will increase by around </t>
  </si>
  <si>
    <t xml:space="preserve">$X in 20XX/XX to $Y, and by a cumulative A%, or by </t>
  </si>
  <si>
    <t>$B over the X years to 20XX/XX.</t>
  </si>
  <si>
    <r>
      <t xml:space="preserve">Improve the council’s operating balance </t>
    </r>
    <r>
      <rPr>
        <sz val="11"/>
        <rFont val="Book Antiqua"/>
        <family val="1"/>
      </rPr>
      <t>by a cumulative $Xm over 10 years</t>
    </r>
  </si>
  <si>
    <t>Increase in rates and annual charges above base case</t>
  </si>
  <si>
    <t>Inflation rate applied to Materials &amp; Contracts</t>
  </si>
  <si>
    <t>Average residential rate level $</t>
  </si>
  <si>
    <t>Average residential rate increase $</t>
  </si>
  <si>
    <t>Average residential rate cumulative increase $</t>
  </si>
  <si>
    <t>Average business rate level $</t>
  </si>
  <si>
    <t>Average businessl rate increase $</t>
  </si>
  <si>
    <t>Average business rate cumulative increase $</t>
  </si>
  <si>
    <t>Average farmland rate level $</t>
  </si>
  <si>
    <t>Average farmland rate increase $</t>
  </si>
  <si>
    <t>Average farmland rate cumulative increase $</t>
  </si>
  <si>
    <t>Average mining rate level $</t>
  </si>
  <si>
    <t>Average mining rate cumulative increase $</t>
  </si>
  <si>
    <t>Average business rate increase $</t>
  </si>
  <si>
    <t>Average mining rate increase $</t>
  </si>
  <si>
    <t>XYZ council will also contribute $Xm of its own funds towards the XXYY program over the next 10 years.</t>
  </si>
  <si>
    <t>Full SV %</t>
  </si>
  <si>
    <t>5. Does the council have an expiring variation? If yes, please specify when.</t>
  </si>
  <si>
    <t xml:space="preserve">     as well as the % which is due to expire (i.e. excluding the rate peg)</t>
  </si>
  <si>
    <t>1st Expiring SV</t>
  </si>
  <si>
    <t>2nd Expiring SV</t>
  </si>
  <si>
    <t xml:space="preserve">Operating result from continuing operations </t>
  </si>
  <si>
    <t>– excluding capital grants and contributions</t>
  </si>
  <si>
    <t xml:space="preserve"> – including capital grants and contributions</t>
  </si>
  <si>
    <t xml:space="preserve">            APPLICATION FOR SPECIAL VARIATION TO GENERAL INCOME</t>
  </si>
  <si>
    <t>PERMISSIBLE GENERAL INCOME SUMMARY</t>
  </si>
  <si>
    <r>
      <t>Worksheet 4 (PGI):</t>
    </r>
    <r>
      <rPr>
        <sz val="12"/>
        <rFont val="Arial"/>
        <family val="2"/>
      </rPr>
      <t xml:space="preserve"> Summarises the council's Permissible General Income based on the 1st year SV</t>
    </r>
  </si>
  <si>
    <r>
      <t>Worksheet 5b (Impact on Rates 2):</t>
    </r>
    <r>
      <rPr>
        <sz val="12"/>
        <rFont val="Arial"/>
        <family val="2"/>
      </rPr>
      <t xml:space="preserve"> Collects the assessment numbers in the residential, business and farmland</t>
    </r>
  </si>
  <si>
    <t>ordinary rate categories for different land values in year 1 and the proposed rates across this</t>
  </si>
  <si>
    <t>Enter the rate peg for 2015/16 as announced by IPART in late 2014 (E45).</t>
  </si>
  <si>
    <t>automatically populate when the cells above are completed.</t>
  </si>
  <si>
    <t>Enter the requested percentage increases in general income (incl. rate peg) from year 2 (D46 to D51).</t>
  </si>
  <si>
    <t>This worksheet calculates the Notional General Income for the current year (Year 0), by applying the</t>
  </si>
  <si>
    <t>Any inclusion in WK2 as a “supplementary valuation” must agree with section 4 of the Valuation of Land Act 1916.</t>
  </si>
  <si>
    <t>This worksheet calculates the proposed Notional General Income (Year 1). It should apply the proposed rating structure,</t>
  </si>
  <si>
    <t>including the proposed SV increase, to land values adjusted by any supplementary valuations.</t>
  </si>
  <si>
    <t>The rating structure entered here must be checked by OLG.</t>
  </si>
  <si>
    <t>by OLG before the application is submitted to us.</t>
  </si>
  <si>
    <t xml:space="preserve">If the council has a SV due to expire on 30 June 2015, </t>
  </si>
  <si>
    <t>calculating Permissable General Income in 2015/16.</t>
  </si>
  <si>
    <t>separately made to OLG.</t>
  </si>
  <si>
    <t>There are two other possible adjustments that are not included</t>
  </si>
  <si>
    <t>in the SV% but will affect Permissable General Income:</t>
  </si>
  <si>
    <t>minimum rate increases per category/sub-category with the proposed SV</t>
  </si>
  <si>
    <t>average rate increases per category/sub-category (for ordinary and special rates) with and without the SV</t>
  </si>
  <si>
    <t>Minimum rates</t>
  </si>
  <si>
    <t>Enter in the minimum rates per category/sub-category as if the SV were approved for each year as requested</t>
  </si>
  <si>
    <t>Enter the number of assessments in the ordinary rating categories (residential, business and farmland)</t>
  </si>
  <si>
    <t>This worksheet shows the distribution of ordinary rates across different land values and how</t>
  </si>
  <si>
    <t>ratepayers will be affected by the proposed SV, depending on the value of their land.</t>
  </si>
  <si>
    <t xml:space="preserve">Councils must complete the information from the Long Term Financial Plan for both the Special Variation Scenario </t>
  </si>
  <si>
    <t>and the Base Case Scenario (without special variation).</t>
  </si>
  <si>
    <t>any amounts entered need to be verified by the OLG before the application is submitted to us.</t>
  </si>
  <si>
    <r>
      <t>This worksheet must contain the rating structure proposed
 for the first year of the special variation application.</t>
    </r>
    <r>
      <rPr>
        <b/>
        <sz val="14"/>
        <rFont val="Arial"/>
        <family val="2"/>
      </rPr>
      <t xml:space="preserve">
</t>
    </r>
    <r>
      <rPr>
        <b/>
        <sz val="8"/>
        <rFont val="Arial"/>
        <family val="2"/>
      </rPr>
      <t xml:space="preserve">
</t>
    </r>
    <r>
      <rPr>
        <b/>
        <sz val="12"/>
        <color indexed="18"/>
        <rFont val="Arial"/>
        <family val="2"/>
      </rPr>
      <t>Note: A rating structure that does not comply with the legislation may not be approved.  It is Council's responsibility to check its rating structure with OLG before submission to IPART.</t>
    </r>
  </si>
  <si>
    <t>IMPACT ON RATES BY LAND VALUE</t>
  </si>
  <si>
    <t xml:space="preserve">         The aim of this sheet is to show the impact of the special variation on Ordinary Rates by land value for the residential, business</t>
  </si>
  <si>
    <t xml:space="preserve">         and farmland categories - as applicable.</t>
  </si>
  <si>
    <t xml:space="preserve">         1. Enter the number of property assessments within each of the specified land value ranges.</t>
  </si>
  <si>
    <t xml:space="preserve">         2. Include the estimated rate levels for the specified land values (eg $50,000) over the period of the proposed special variation</t>
  </si>
  <si>
    <r>
      <t xml:space="preserve">         Rate estimates should reflect expected </t>
    </r>
    <r>
      <rPr>
        <b/>
        <i/>
        <sz val="12"/>
        <color indexed="18"/>
        <rFont val="Arial"/>
        <family val="2"/>
      </rPr>
      <t xml:space="preserve">actual </t>
    </r>
    <r>
      <rPr>
        <b/>
        <sz val="12"/>
        <color indexed="18"/>
        <rFont val="Arial"/>
        <family val="2"/>
      </rPr>
      <t xml:space="preserve">rates, inclusive of any expiring variations. </t>
    </r>
  </si>
  <si>
    <t xml:space="preserve">         Figures should not include special rates.</t>
  </si>
  <si>
    <t>Number of property assessments in this valuation range as per Worksheet 3</t>
  </si>
  <si>
    <t>10. Enter any valuation objections required (input as a positive whole number)</t>
  </si>
  <si>
    <t>A special variation is the total % increase permitted in a council's general income, before adjustments are made for</t>
  </si>
  <si>
    <t>Enter in the average rates per sub-category as if the SV were approved for each year as requested</t>
  </si>
  <si>
    <t>AND the average rates as if the SV were not approved (only the rate peg would then apply)</t>
  </si>
  <si>
    <t>These figures are intended to illustrate the impact of the SV on any specific</t>
  </si>
  <si>
    <t>These figures should include the impact of changes in minimum rates and are calculated as per below.</t>
  </si>
  <si>
    <t xml:space="preserve">    of assessments in that same category or sub-category (i.e. including assessments on the minimum rate). </t>
  </si>
  <si>
    <t>1. An average rate equals total income in a category or sub-category divided by the number</t>
  </si>
  <si>
    <t>2. These figures should reflect the reduction from any expiring SVs so that the net change in rates is measured.</t>
  </si>
  <si>
    <t>Current Minimum Rate</t>
  </si>
  <si>
    <t>Minimum
Rate
Year 1</t>
  </si>
  <si>
    <t>Minimum
Rate
Year 2</t>
  </si>
  <si>
    <t>Minimum
Rate
Year 3</t>
  </si>
  <si>
    <t>Minimum
Rate
Year 4</t>
  </si>
  <si>
    <t>Minimum
Rate
Year 5</t>
  </si>
  <si>
    <t>Minimum
Rate
Year 6</t>
  </si>
  <si>
    <t>Minimum
Rate
Year 7</t>
  </si>
  <si>
    <t>Annual and Cumulative Increases</t>
  </si>
  <si>
    <t xml:space="preserve">  A separate minimum rates application is not necessary if the council is applying for a special variation </t>
  </si>
  <si>
    <t xml:space="preserve">  If the council levies minimum rates for any category or sub-category, these rates should be detailed below. </t>
  </si>
  <si>
    <t xml:space="preserve">  that will have the effect of causing a minimum rate to exceed the statutory limit.</t>
  </si>
  <si>
    <t>Current Average Rate</t>
  </si>
  <si>
    <t>Average
Rate
Year 1</t>
  </si>
  <si>
    <t>Average
Rate
Year 2</t>
  </si>
  <si>
    <t>Average
Rate
Year 3</t>
  </si>
  <si>
    <t>Average
Rate
Year 4</t>
  </si>
  <si>
    <t>Average
Rate
Year 5</t>
  </si>
  <si>
    <t>Average
Rate
Year 6</t>
  </si>
  <si>
    <t>Average
Rate
Year 7</t>
  </si>
  <si>
    <t>Current Average Charge</t>
  </si>
  <si>
    <t>Rate     Year 1</t>
  </si>
  <si>
    <t>Rate     Year 2</t>
  </si>
  <si>
    <t>Rate     Year 3</t>
  </si>
  <si>
    <t>Rate     Year 4</t>
  </si>
  <si>
    <t>Rate     Year 5</t>
  </si>
  <si>
    <t>Rate     Year 6</t>
  </si>
  <si>
    <t>Rate     Year 7</t>
  </si>
  <si>
    <t>)</t>
  </si>
  <si>
    <t>(</t>
  </si>
  <si>
    <t>Prior year Catchup/(Excess)</t>
  </si>
  <si>
    <t>This sheet shows how the council proposes to use the additional income from the special variation.                                                                         
Enter the proposed spending over 10 years under each of the headings as relevant. 
For additional SRV income in years beyond the period of the special variation, we increase the income in the final year 
 of the variation by the assumed rate peg of 3% in each of the future years. i.e. multiply by 1.03 each year.</t>
  </si>
  <si>
    <t>6. If the council has an expiring variation, enter the $ amount expiring in cells J44 to J51 below</t>
  </si>
  <si>
    <t>Pamela Gokgur</t>
  </si>
  <si>
    <t>Chief Financial Officer</t>
  </si>
  <si>
    <t>pamela.gokgur@shoalhaven.nsw.gov.au</t>
  </si>
  <si>
    <t>NO</t>
  </si>
  <si>
    <t>Non Urban</t>
  </si>
  <si>
    <t>Commercial/Industrial</t>
  </si>
  <si>
    <t>Nowra</t>
  </si>
  <si>
    <t>Ulladulla</t>
  </si>
  <si>
    <t>Sussex Area Special</t>
  </si>
  <si>
    <t>Dairy Farmers</t>
  </si>
  <si>
    <t>Jerberra Rezoning Special Rate</t>
  </si>
  <si>
    <t>Jerberra Road Design Special Rate</t>
  </si>
  <si>
    <t>Jerberra Road Construction Special Rate</t>
  </si>
  <si>
    <t>Verons Rezoning Special Rate</t>
  </si>
  <si>
    <t>Verons Road Design Special Rate</t>
  </si>
  <si>
    <t>Verons Road Construction Special Rate</t>
  </si>
  <si>
    <t>Nebraska Rezoning Special Rate</t>
  </si>
  <si>
    <t>Nebraska Road Design Special Rate</t>
  </si>
  <si>
    <t>Nebraska Road Construction Special Rate</t>
  </si>
  <si>
    <t>Jerberra Road Infrastructure</t>
  </si>
  <si>
    <t>Jerberra Electricity Infrastructure</t>
  </si>
  <si>
    <t>Fund Loan interest repayments</t>
  </si>
  <si>
    <t>Road and Electricity Infrastructure</t>
  </si>
  <si>
    <t>Loan principal repayments</t>
  </si>
  <si>
    <t>Loan income</t>
  </si>
  <si>
    <t>0244293322</t>
  </si>
  <si>
    <t>Domestic Waste 80 Litre service</t>
  </si>
  <si>
    <t>Domestic Waste 120 Litre service</t>
  </si>
  <si>
    <t>Domestic Waste 240 Litre service</t>
  </si>
  <si>
    <t>Water Availability Charge 20mm</t>
  </si>
  <si>
    <t>Water Availability Charge 25mm</t>
  </si>
  <si>
    <t>Water Availability Charge 32mm</t>
  </si>
  <si>
    <t>Water Availability Charge 40mm</t>
  </si>
  <si>
    <t>Water Availability Charge 50mm</t>
  </si>
  <si>
    <t>Water Availability Charge 80mm</t>
  </si>
  <si>
    <t>Water Availability Charge 100mm</t>
  </si>
  <si>
    <t>Water Availability Charge 150mm</t>
  </si>
  <si>
    <t>Water Availability Charge 200mm</t>
  </si>
  <si>
    <t>Sewer Availability 20mm</t>
  </si>
  <si>
    <t>Sewer Availability 25mm</t>
  </si>
  <si>
    <t>Sewer Availability 32mm</t>
  </si>
  <si>
    <t>Sewer Availability 40mm</t>
  </si>
  <si>
    <t>Sewer Availability 50mm</t>
  </si>
  <si>
    <t>Sewer Availability 80mm</t>
  </si>
  <si>
    <t>Sewer Availability 100mm</t>
  </si>
  <si>
    <t>Sewer Availability 150mm</t>
  </si>
  <si>
    <t>Sewer Availability 200mm</t>
  </si>
  <si>
    <t>Storm Water - General</t>
  </si>
  <si>
    <t>Storm Water - Strata</t>
  </si>
  <si>
    <t>no</t>
  </si>
  <si>
    <t>Jerberra Road - E2 Infrastructure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</si>
</sst>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44" formatCode="_-&quot;$&quot;* #,##0.00_-;\-&quot;$&quot;* #,##0.00_-;_-&quot;$&quot;* &quot;-&quot;??_-;_-@_-"/>
    <numFmt numFmtId="43" formatCode="_-* #,##0.00_-;\-* #,##0.00_-;_-* &quot;-&quot;??_-;_-@_-"/>
    <numFmt numFmtId="164" formatCode="_(* #,##0_);_(* \(#,##0\);_(* &quot;-&quot;_);_(@_)"/>
    <numFmt numFmtId="165" formatCode="0.0%"/>
    <numFmt numFmtId="166" formatCode="0.0"/>
    <numFmt numFmtId="167" formatCode="_(* #,##0.00_);_(* \(#,##0.00\);_(* &quot;-&quot;_);_(@_)"/>
    <numFmt numFmtId="168" formatCode="_(* #,##0_);_(* \(#,##0\);_(* &quot;-&quot;??_);_(@_)"/>
    <numFmt numFmtId="169" formatCode="d\ mmmm\ yyyy"/>
    <numFmt numFmtId="170" formatCode="_(* #,##0_);_(* \(#,##0\);_(* &quot;&quot;??_);_(@_)"/>
    <numFmt numFmtId="171" formatCode="_-* #,##0_-;\-* #,##0_-;_-* &quot;-&quot;??_-;_-@_-"/>
    <numFmt numFmtId="172" formatCode="#,##0.0"/>
    <numFmt numFmtId="173" formatCode="_-* #,##0_-;\-* #,##0_-;_-* &quot;&quot;??_-;_-@_-"/>
    <numFmt numFmtId="174" formatCode="_-* #,##0.0_-;\-* #,##0.0_-;_-* &quot;&quot;??_-;_-@_-"/>
    <numFmt numFmtId="175" formatCode="#,##0;;&quot;&quot;"/>
  </numFmts>
  <fonts count="102" x14ac:knownFonts="1">
    <font>
      <sz val="9"/>
      <name val="Arial"/>
      <family val="2"/>
    </font>
    <font>
      <sz val="9"/>
      <name val="Arial"/>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0"/>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u/>
      <sz val="9"/>
      <color indexed="12"/>
      <name val="Arial"/>
      <family val="2"/>
    </font>
    <font>
      <sz val="8"/>
      <name val="Arial"/>
      <family val="2"/>
    </font>
    <font>
      <b/>
      <sz val="20"/>
      <name val="Arial"/>
      <family val="2"/>
    </font>
    <font>
      <b/>
      <u/>
      <sz val="20"/>
      <name val="Arial"/>
      <family val="2"/>
    </font>
    <font>
      <i/>
      <sz val="10"/>
      <color indexed="50"/>
      <name val="Arial"/>
      <family val="2"/>
    </font>
    <font>
      <sz val="14"/>
      <name val="Arial"/>
      <family val="2"/>
    </font>
    <font>
      <sz val="12"/>
      <color indexed="12"/>
      <name val="Arial"/>
      <family val="2"/>
    </font>
    <font>
      <sz val="12"/>
      <name val="Arial"/>
      <family val="2"/>
    </font>
    <font>
      <b/>
      <u/>
      <sz val="12"/>
      <color indexed="10"/>
      <name val="Arial"/>
      <family val="2"/>
    </font>
    <font>
      <b/>
      <u/>
      <sz val="12"/>
      <name val="Arial"/>
      <family val="2"/>
    </font>
    <font>
      <b/>
      <sz val="26"/>
      <name val="Arial"/>
      <family val="2"/>
    </font>
    <font>
      <b/>
      <sz val="12"/>
      <color indexed="39"/>
      <name val="Arial"/>
      <family val="2"/>
    </font>
    <font>
      <b/>
      <sz val="10"/>
      <name val="Arial"/>
      <family val="2"/>
    </font>
    <font>
      <b/>
      <u/>
      <sz val="10"/>
      <name val="Arial"/>
      <family val="2"/>
    </font>
    <font>
      <b/>
      <sz val="11"/>
      <color indexed="39"/>
      <name val="Arial"/>
      <family val="2"/>
    </font>
    <font>
      <sz val="11"/>
      <color indexed="39"/>
      <name val="Arial"/>
      <family val="2"/>
    </font>
    <font>
      <b/>
      <sz val="11"/>
      <name val="Arial"/>
      <family val="2"/>
    </font>
    <font>
      <b/>
      <u/>
      <sz val="18"/>
      <name val="Arial"/>
      <family val="2"/>
    </font>
    <font>
      <b/>
      <sz val="8"/>
      <name val="Arial"/>
      <family val="2"/>
    </font>
    <font>
      <b/>
      <sz val="12"/>
      <name val="Arial"/>
      <family val="2"/>
    </font>
    <font>
      <b/>
      <sz val="12"/>
      <color indexed="12"/>
      <name val="Arial"/>
      <family val="2"/>
    </font>
    <font>
      <b/>
      <sz val="12"/>
      <color indexed="39"/>
      <name val="Arial"/>
      <family val="2"/>
    </font>
    <font>
      <b/>
      <u/>
      <sz val="20"/>
      <name val="Arial"/>
      <family val="2"/>
    </font>
    <font>
      <b/>
      <sz val="18"/>
      <name val="Arial"/>
      <family val="2"/>
    </font>
    <font>
      <b/>
      <sz val="24"/>
      <name val="Arial"/>
      <family val="2"/>
    </font>
    <font>
      <b/>
      <sz val="12"/>
      <color indexed="18"/>
      <name val="Arial"/>
      <family val="2"/>
    </font>
    <font>
      <b/>
      <sz val="18"/>
      <name val="Arial"/>
      <family val="2"/>
    </font>
    <font>
      <sz val="72"/>
      <name val="Wingdings"/>
      <charset val="2"/>
    </font>
    <font>
      <sz val="12"/>
      <name val="Arial"/>
      <family val="2"/>
    </font>
    <font>
      <i/>
      <sz val="12"/>
      <name val="Arial"/>
      <family val="2"/>
    </font>
    <font>
      <sz val="12"/>
      <name val="Wingdings 3"/>
      <family val="1"/>
      <charset val="2"/>
    </font>
    <font>
      <u/>
      <sz val="12"/>
      <name val="Arial"/>
      <family val="2"/>
    </font>
    <font>
      <sz val="16"/>
      <name val="Arial"/>
      <family val="2"/>
    </font>
    <font>
      <sz val="12"/>
      <color indexed="18"/>
      <name val="Arial"/>
      <family val="2"/>
    </font>
    <font>
      <i/>
      <sz val="12"/>
      <color indexed="18"/>
      <name val="Arial"/>
      <family val="2"/>
    </font>
    <font>
      <u/>
      <sz val="12"/>
      <name val="Arial"/>
      <family val="2"/>
    </font>
    <font>
      <b/>
      <sz val="28"/>
      <name val="Arial"/>
      <family val="2"/>
    </font>
    <font>
      <sz val="14"/>
      <name val="Arial"/>
      <family val="2"/>
    </font>
    <font>
      <b/>
      <u/>
      <sz val="12"/>
      <name val="Arial"/>
      <family val="2"/>
    </font>
    <font>
      <b/>
      <sz val="16"/>
      <color indexed="18"/>
      <name val="Arial"/>
      <family val="2"/>
    </font>
    <font>
      <b/>
      <sz val="10"/>
      <color indexed="18"/>
      <name val="Arial"/>
      <family val="2"/>
    </font>
    <font>
      <sz val="9"/>
      <color indexed="18"/>
      <name val="Arial"/>
      <family val="2"/>
    </font>
    <font>
      <i/>
      <sz val="14"/>
      <name val="Arial"/>
      <family val="2"/>
    </font>
    <font>
      <b/>
      <i/>
      <sz val="12"/>
      <name val="Arial"/>
      <family val="2"/>
    </font>
    <font>
      <b/>
      <u/>
      <sz val="14"/>
      <name val="Arial"/>
      <family val="2"/>
    </font>
    <font>
      <sz val="11"/>
      <name val="Arial"/>
      <family val="2"/>
    </font>
    <font>
      <sz val="9"/>
      <name val="Arial"/>
      <family val="2"/>
    </font>
    <font>
      <b/>
      <sz val="9"/>
      <name val="Arial"/>
      <family val="2"/>
    </font>
    <font>
      <b/>
      <u/>
      <sz val="9"/>
      <name val="Arial"/>
      <family val="2"/>
    </font>
    <font>
      <b/>
      <sz val="11"/>
      <color indexed="18"/>
      <name val="Arial"/>
      <family val="2"/>
    </font>
    <font>
      <u/>
      <sz val="9"/>
      <name val="Arial"/>
      <family val="2"/>
    </font>
    <font>
      <sz val="12"/>
      <color indexed="12"/>
      <name val="Arial"/>
      <family val="2"/>
    </font>
    <font>
      <b/>
      <sz val="11"/>
      <color indexed="12"/>
      <name val="Arial"/>
      <family val="2"/>
    </font>
    <font>
      <b/>
      <i/>
      <sz val="12"/>
      <color indexed="18"/>
      <name val="Arial"/>
      <family val="2"/>
    </font>
    <font>
      <i/>
      <sz val="10"/>
      <name val="Arial"/>
      <family val="2"/>
    </font>
    <font>
      <i/>
      <sz val="11"/>
      <name val="Arial"/>
      <family val="2"/>
    </font>
    <font>
      <b/>
      <u/>
      <sz val="24"/>
      <name val="Arial"/>
      <family val="2"/>
    </font>
    <font>
      <b/>
      <sz val="15"/>
      <name val="Arial"/>
      <family val="2"/>
    </font>
    <font>
      <sz val="10"/>
      <color indexed="10"/>
      <name val="Arial"/>
      <family val="2"/>
    </font>
    <font>
      <sz val="11"/>
      <name val="Book Antiqua"/>
      <family val="1"/>
    </font>
    <font>
      <b/>
      <sz val="11"/>
      <name val="Book Antiqua"/>
      <family val="1"/>
    </font>
    <font>
      <sz val="9.5"/>
      <name val="Arial"/>
      <family val="2"/>
    </font>
    <font>
      <b/>
      <sz val="15"/>
      <color indexed="56"/>
      <name val="Arial"/>
      <family val="2"/>
    </font>
    <font>
      <b/>
      <sz val="7"/>
      <color indexed="56"/>
      <name val="Times New Roman"/>
      <family val="1"/>
    </font>
    <font>
      <b/>
      <sz val="12"/>
      <color indexed="56"/>
      <name val="Arial"/>
      <family val="2"/>
    </font>
    <font>
      <b/>
      <sz val="10"/>
      <color indexed="12"/>
      <name val="Arial"/>
      <family val="2"/>
    </font>
    <font>
      <b/>
      <sz val="12"/>
      <color theme="1"/>
      <name val="Arial"/>
      <family val="2"/>
    </font>
    <font>
      <sz val="9"/>
      <color rgb="FFCCFFFF"/>
      <name val="Arial"/>
      <family val="2"/>
    </font>
    <font>
      <sz val="9"/>
      <color rgb="FFFF0000"/>
      <name val="Arial"/>
      <family val="2"/>
    </font>
    <font>
      <b/>
      <sz val="20"/>
      <color rgb="FFFF0000"/>
      <name val="Arial"/>
      <family val="2"/>
    </font>
    <font>
      <sz val="12"/>
      <color rgb="FFFF0000"/>
      <name val="Arial"/>
      <family val="2"/>
    </font>
    <font>
      <b/>
      <sz val="12"/>
      <color rgb="FFFF0000"/>
      <name val="Arial"/>
      <family val="2"/>
    </font>
    <font>
      <b/>
      <sz val="10"/>
      <color rgb="FFFF0000"/>
      <name val="Arial"/>
      <family val="2"/>
    </font>
    <font>
      <b/>
      <sz val="14"/>
      <color rgb="FFFF0000"/>
      <name val="Arial"/>
      <family val="2"/>
    </font>
    <font>
      <sz val="14"/>
      <color rgb="FFFF0000"/>
      <name val="Arial"/>
      <family val="2"/>
    </font>
    <font>
      <sz val="9"/>
      <color theme="4" tint="-0.499984740745262"/>
      <name val="Arial"/>
      <family val="2"/>
    </font>
    <font>
      <b/>
      <sz val="12"/>
      <color theme="4" tint="-0.499984740745262"/>
      <name val="Arial"/>
      <family val="2"/>
    </font>
    <font>
      <b/>
      <sz val="12"/>
      <color rgb="FF00408A"/>
      <name val="Arial"/>
      <family val="2"/>
    </font>
    <font>
      <b/>
      <sz val="15"/>
      <color rgb="FF00408A"/>
      <name val="Arial"/>
      <family val="2"/>
    </font>
    <font>
      <sz val="11"/>
      <color rgb="FF140CBC"/>
      <name val="Arial"/>
      <family val="2"/>
    </font>
    <font>
      <b/>
      <sz val="11"/>
      <color theme="4" tint="-0.249977111117893"/>
      <name val="Arial"/>
      <family val="2"/>
    </font>
    <font>
      <b/>
      <sz val="11"/>
      <color theme="4" tint="-0.499984740745262"/>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20">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41"/>
        <bgColor indexed="42"/>
      </patternFill>
    </fill>
    <fill>
      <patternFill patternType="solid">
        <fgColor indexed="47"/>
        <bgColor indexed="64"/>
      </patternFill>
    </fill>
    <fill>
      <patternFill patternType="solid">
        <fgColor indexed="22"/>
        <bgColor indexed="64"/>
      </patternFill>
    </fill>
    <fill>
      <patternFill patternType="solid">
        <fgColor indexed="41"/>
        <bgColor indexed="8"/>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104">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ck">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medium">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ck">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ck">
        <color indexed="64"/>
      </right>
      <top/>
      <bottom style="thick">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style="thick">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5">
    <xf numFmtId="0" fontId="0"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7" fontId="12" fillId="0" borderId="0">
      <alignment horizontal="left"/>
    </xf>
    <xf numFmtId="164" fontId="2" fillId="2" borderId="0">
      <alignment horizontal="left"/>
      <protection locked="0"/>
    </xf>
    <xf numFmtId="165" fontId="2" fillId="2" borderId="0">
      <alignment horizontal="right"/>
      <protection locked="0"/>
    </xf>
    <xf numFmtId="0" fontId="15" fillId="0" borderId="0" applyNumberFormat="0" applyFill="0" applyBorder="0" applyAlignment="0"/>
    <xf numFmtId="0" fontId="6" fillId="0" borderId="0" applyNumberFormat="0" applyFill="0" applyBorder="0" applyAlignment="0"/>
    <xf numFmtId="0" fontId="8" fillId="0" borderId="1" applyNumberFormat="0" applyFill="0" applyBorder="0" applyAlignment="0"/>
    <xf numFmtId="0" fontId="16" fillId="0" borderId="0" applyNumberFormat="0" applyFill="0" applyBorder="0" applyAlignment="0" applyProtection="0"/>
    <xf numFmtId="165" fontId="4" fillId="3" borderId="0" applyFont="0" applyBorder="0" applyAlignment="0">
      <protection locked="0"/>
    </xf>
    <xf numFmtId="164" fontId="4" fillId="3" borderId="2" applyNumberFormat="0" applyFont="0" applyBorder="0" applyAlignment="0">
      <alignment horizontal="right"/>
      <protection locked="0"/>
    </xf>
    <xf numFmtId="164" fontId="9" fillId="4" borderId="0" applyFont="0" applyBorder="0" applyAlignment="0">
      <alignment horizontal="right"/>
      <protection locked="0"/>
    </xf>
    <xf numFmtId="164" fontId="4" fillId="4" borderId="0" applyFont="0" applyBorder="0" applyAlignment="0">
      <alignment horizontal="right"/>
      <protection locked="0"/>
    </xf>
    <xf numFmtId="164" fontId="4" fillId="4" borderId="0" applyFont="0" applyBorder="0" applyAlignment="0">
      <alignment horizontal="right"/>
      <protection locked="0"/>
    </xf>
    <xf numFmtId="10" fontId="9" fillId="4" borderId="0" applyFont="0" applyBorder="0">
      <alignment horizontal="right"/>
      <protection locked="0"/>
    </xf>
    <xf numFmtId="10" fontId="4" fillId="4" borderId="0" applyFont="0" applyBorder="0">
      <alignment horizontal="right"/>
      <protection locked="0"/>
    </xf>
    <xf numFmtId="10" fontId="4" fillId="4" borderId="0" applyFont="0" applyBorder="0">
      <alignment horizontal="right"/>
      <protection locked="0"/>
    </xf>
    <xf numFmtId="164" fontId="14" fillId="5" borderId="0"/>
    <xf numFmtId="0" fontId="10" fillId="0" borderId="0"/>
    <xf numFmtId="9" fontId="2" fillId="0" borderId="0" applyFont="0" applyFill="0" applyBorder="0" applyAlignment="0" applyProtection="0"/>
    <xf numFmtId="0" fontId="14" fillId="6" borderId="0" applyNumberFormat="0" applyAlignment="0"/>
    <xf numFmtId="0" fontId="13" fillId="0" borderId="0"/>
  </cellStyleXfs>
  <cellXfs count="869">
    <xf numFmtId="0" fontId="0" fillId="0" borderId="0" xfId="0"/>
    <xf numFmtId="0" fontId="5" fillId="0" borderId="0" xfId="0" applyFont="1"/>
    <xf numFmtId="0" fontId="0" fillId="0" borderId="0" xfId="0" applyBorder="1"/>
    <xf numFmtId="0" fontId="0" fillId="0" borderId="0" xfId="0" applyProtection="1"/>
    <xf numFmtId="0" fontId="4" fillId="7" borderId="0" xfId="0" applyFont="1" applyFill="1" applyBorder="1" applyProtection="1"/>
    <xf numFmtId="0" fontId="4" fillId="0" borderId="0" xfId="0" applyFont="1" applyBorder="1" applyProtection="1"/>
    <xf numFmtId="0" fontId="4" fillId="0" borderId="0" xfId="0" applyFont="1" applyFill="1" applyBorder="1" applyProtection="1"/>
    <xf numFmtId="0" fontId="0" fillId="0" borderId="0" xfId="0" applyAlignment="1" applyProtection="1">
      <alignment vertical="top" wrapText="1"/>
    </xf>
    <xf numFmtId="0" fontId="0" fillId="8" borderId="3" xfId="0" applyFill="1" applyBorder="1" applyAlignment="1" applyProtection="1">
      <alignment vertical="top" wrapText="1"/>
    </xf>
    <xf numFmtId="0" fontId="28" fillId="9" borderId="1" xfId="0" applyFont="1" applyFill="1" applyBorder="1" applyAlignment="1" applyProtection="1">
      <alignment horizontal="center" vertical="top" wrapText="1"/>
    </xf>
    <xf numFmtId="0" fontId="0" fillId="9" borderId="1" xfId="0" applyFill="1" applyBorder="1" applyAlignment="1" applyProtection="1">
      <alignment vertical="top" wrapText="1"/>
    </xf>
    <xf numFmtId="0" fontId="28" fillId="9" borderId="1" xfId="3" applyNumberFormat="1" applyFont="1" applyFill="1" applyBorder="1" applyAlignment="1" applyProtection="1">
      <alignment horizontal="center" vertical="top" wrapText="1"/>
    </xf>
    <xf numFmtId="0" fontId="28" fillId="9" borderId="1" xfId="1" applyNumberFormat="1" applyFont="1" applyFill="1" applyBorder="1" applyAlignment="1" applyProtection="1">
      <alignment horizontal="center" vertical="top" wrapText="1"/>
    </xf>
    <xf numFmtId="0" fontId="28" fillId="9" borderId="4" xfId="0" applyFont="1" applyFill="1" applyBorder="1" applyAlignment="1" applyProtection="1">
      <alignment horizontal="center" vertical="top" wrapText="1"/>
    </xf>
    <xf numFmtId="0" fontId="0" fillId="8" borderId="5" xfId="0" applyFill="1" applyBorder="1" applyAlignment="1" applyProtection="1">
      <alignment vertical="top" wrapText="1"/>
    </xf>
    <xf numFmtId="0" fontId="11" fillId="7" borderId="6" xfId="0" applyFont="1" applyFill="1" applyBorder="1" applyAlignment="1" applyProtection="1">
      <alignment vertical="center"/>
      <protection locked="0"/>
    </xf>
    <xf numFmtId="0" fontId="11" fillId="7" borderId="6" xfId="0"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protection locked="0"/>
    </xf>
    <xf numFmtId="0" fontId="11" fillId="7" borderId="6" xfId="0" applyNumberFormat="1" applyFont="1" applyFill="1" applyBorder="1" applyAlignment="1" applyProtection="1">
      <alignment vertical="center"/>
      <protection locked="0"/>
    </xf>
    <xf numFmtId="170" fontId="11" fillId="7" borderId="6" xfId="1" applyNumberFormat="1" applyFont="1" applyFill="1" applyBorder="1" applyAlignment="1" applyProtection="1">
      <alignment vertical="center"/>
      <protection locked="0"/>
    </xf>
    <xf numFmtId="4" fontId="11" fillId="7" borderId="6" xfId="0" applyNumberFormat="1" applyFont="1" applyFill="1" applyBorder="1" applyAlignment="1" applyProtection="1">
      <alignment horizontal="center" vertical="top" wrapText="1"/>
      <protection locked="0"/>
    </xf>
    <xf numFmtId="0" fontId="4" fillId="0" borderId="0" xfId="0" applyFont="1" applyProtection="1"/>
    <xf numFmtId="168" fontId="9" fillId="0" borderId="0" xfId="1" applyNumberFormat="1" applyFont="1" applyProtection="1"/>
    <xf numFmtId="4" fontId="0" fillId="0" borderId="6" xfId="0" applyNumberFormat="1" applyFill="1" applyBorder="1" applyProtection="1">
      <protection locked="0"/>
    </xf>
    <xf numFmtId="0" fontId="0" fillId="0" borderId="0" xfId="0" applyFill="1" applyBorder="1"/>
    <xf numFmtId="0" fontId="0" fillId="3" borderId="1" xfId="0" applyFill="1" applyBorder="1"/>
    <xf numFmtId="0" fontId="0" fillId="3" borderId="3" xfId="0" applyFill="1" applyBorder="1"/>
    <xf numFmtId="0" fontId="23" fillId="3" borderId="3" xfId="0" applyFont="1" applyFill="1" applyBorder="1"/>
    <xf numFmtId="0" fontId="0" fillId="3" borderId="7" xfId="0" applyFill="1" applyBorder="1"/>
    <xf numFmtId="0" fontId="37" fillId="3" borderId="0" xfId="0" applyFont="1" applyFill="1" applyBorder="1" applyAlignment="1" applyProtection="1">
      <alignment vertical="top"/>
    </xf>
    <xf numFmtId="0" fontId="0" fillId="3" borderId="1" xfId="0" applyFill="1" applyBorder="1" applyProtection="1"/>
    <xf numFmtId="0" fontId="4" fillId="3" borderId="8" xfId="0" applyFont="1" applyFill="1" applyBorder="1" applyProtection="1"/>
    <xf numFmtId="0" fontId="0" fillId="3" borderId="8" xfId="0" applyFill="1" applyBorder="1" applyProtection="1"/>
    <xf numFmtId="168" fontId="9" fillId="3" borderId="8" xfId="1" applyNumberFormat="1" applyFont="1" applyFill="1" applyBorder="1" applyProtection="1"/>
    <xf numFmtId="168" fontId="5" fillId="3" borderId="8" xfId="1" applyNumberFormat="1" applyFont="1" applyFill="1" applyBorder="1" applyAlignment="1" applyProtection="1">
      <alignment horizontal="center"/>
    </xf>
    <xf numFmtId="3" fontId="0" fillId="3" borderId="9" xfId="0" applyNumberFormat="1" applyFill="1" applyBorder="1" applyProtection="1"/>
    <xf numFmtId="0" fontId="0" fillId="3" borderId="3" xfId="0" applyFill="1" applyBorder="1" applyProtection="1"/>
    <xf numFmtId="0" fontId="6" fillId="3" borderId="0" xfId="0" applyFont="1" applyFill="1" applyBorder="1" applyProtection="1"/>
    <xf numFmtId="0" fontId="0" fillId="3" borderId="0" xfId="0" applyFill="1" applyBorder="1" applyProtection="1"/>
    <xf numFmtId="168" fontId="9" fillId="3" borderId="0" xfId="1" applyNumberFormat="1" applyFont="1" applyFill="1" applyBorder="1" applyProtection="1"/>
    <xf numFmtId="0" fontId="28" fillId="3" borderId="0" xfId="0" applyFont="1" applyFill="1" applyBorder="1" applyProtection="1"/>
    <xf numFmtId="3" fontId="0" fillId="3" borderId="5" xfId="0" applyNumberFormat="1" applyFill="1" applyBorder="1" applyProtection="1"/>
    <xf numFmtId="0" fontId="4" fillId="3" borderId="0" xfId="0" applyFont="1" applyFill="1" applyBorder="1" applyProtection="1"/>
    <xf numFmtId="0" fontId="21" fillId="3" borderId="0" xfId="0" applyFont="1" applyFill="1" applyBorder="1" applyProtection="1"/>
    <xf numFmtId="168" fontId="5" fillId="3" borderId="0" xfId="1" applyNumberFormat="1" applyFont="1" applyFill="1" applyBorder="1" applyProtection="1"/>
    <xf numFmtId="0" fontId="0" fillId="3" borderId="5" xfId="0" applyFill="1" applyBorder="1" applyProtection="1"/>
    <xf numFmtId="0" fontId="28" fillId="3" borderId="5" xfId="0" applyFont="1" applyFill="1" applyBorder="1" applyAlignment="1" applyProtection="1">
      <alignment horizontal="centerContinuous"/>
    </xf>
    <xf numFmtId="0" fontId="29" fillId="3" borderId="0" xfId="0" applyFont="1" applyFill="1" applyBorder="1" applyProtection="1"/>
    <xf numFmtId="0" fontId="28" fillId="3" borderId="5" xfId="0" applyFont="1" applyFill="1" applyBorder="1" applyProtection="1"/>
    <xf numFmtId="0" fontId="30" fillId="3" borderId="0" xfId="0" applyFont="1" applyFill="1" applyBorder="1" applyAlignment="1" applyProtection="1">
      <alignment horizontal="left"/>
    </xf>
    <xf numFmtId="0" fontId="31" fillId="3" borderId="0" xfId="0" applyFont="1" applyFill="1" applyBorder="1" applyProtection="1"/>
    <xf numFmtId="0" fontId="0" fillId="3" borderId="3" xfId="0" applyFill="1" applyBorder="1" applyAlignment="1" applyProtection="1">
      <alignment vertical="top" wrapText="1"/>
    </xf>
    <xf numFmtId="0" fontId="28" fillId="3" borderId="6" xfId="0" applyFont="1" applyFill="1" applyBorder="1" applyAlignment="1" applyProtection="1">
      <alignment horizontal="center" vertical="center" wrapText="1"/>
    </xf>
    <xf numFmtId="0" fontId="28" fillId="3" borderId="6" xfId="3" applyNumberFormat="1"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8" fillId="3" borderId="6" xfId="1" applyNumberFormat="1" applyFont="1" applyFill="1" applyBorder="1" applyAlignment="1" applyProtection="1">
      <alignment horizontal="center" vertical="center" wrapText="1"/>
    </xf>
    <xf numFmtId="0" fontId="0" fillId="3" borderId="5" xfId="0" applyFill="1" applyBorder="1" applyAlignment="1" applyProtection="1">
      <alignment vertical="top" wrapText="1"/>
    </xf>
    <xf numFmtId="10" fontId="11" fillId="3" borderId="6" xfId="22" applyNumberFormat="1" applyFont="1" applyFill="1" applyBorder="1" applyAlignment="1" applyProtection="1">
      <alignment vertical="center"/>
    </xf>
    <xf numFmtId="3" fontId="11" fillId="3" borderId="6" xfId="1" applyNumberFormat="1" applyFont="1" applyFill="1" applyBorder="1" applyAlignment="1" applyProtection="1">
      <alignment vertical="center"/>
    </xf>
    <xf numFmtId="0" fontId="28" fillId="3" borderId="0" xfId="0" applyFont="1" applyFill="1" applyBorder="1" applyAlignment="1" applyProtection="1">
      <alignment horizontal="left"/>
    </xf>
    <xf numFmtId="0" fontId="28" fillId="3" borderId="0" xfId="0" applyFont="1" applyFill="1" applyBorder="1" applyAlignment="1" applyProtection="1">
      <alignment horizontal="right"/>
    </xf>
    <xf numFmtId="3" fontId="11" fillId="3" borderId="6" xfId="1" applyNumberFormat="1" applyFont="1" applyFill="1" applyBorder="1" applyProtection="1"/>
    <xf numFmtId="168" fontId="28" fillId="3" borderId="0" xfId="1" applyNumberFormat="1" applyFont="1" applyFill="1" applyBorder="1" applyAlignment="1" applyProtection="1">
      <alignment horizontal="right"/>
    </xf>
    <xf numFmtId="0" fontId="0" fillId="3" borderId="7" xfId="0" applyFill="1" applyBorder="1" applyProtection="1"/>
    <xf numFmtId="0" fontId="28" fillId="3" borderId="2" xfId="0" applyFont="1" applyFill="1" applyBorder="1" applyAlignment="1" applyProtection="1">
      <alignment horizontal="right"/>
    </xf>
    <xf numFmtId="0" fontId="0" fillId="3" borderId="2" xfId="0" applyFill="1" applyBorder="1" applyProtection="1"/>
    <xf numFmtId="0" fontId="28" fillId="3" borderId="2" xfId="0" applyFont="1" applyFill="1" applyBorder="1" applyProtection="1"/>
    <xf numFmtId="170" fontId="9" fillId="3" borderId="2" xfId="1" applyNumberFormat="1" applyFont="1" applyFill="1" applyBorder="1" applyProtection="1"/>
    <xf numFmtId="168" fontId="28" fillId="3" borderId="2" xfId="1" applyNumberFormat="1" applyFont="1" applyFill="1" applyBorder="1" applyAlignment="1" applyProtection="1">
      <alignment horizontal="right"/>
    </xf>
    <xf numFmtId="170" fontId="9" fillId="3" borderId="10" xfId="1" applyNumberFormat="1" applyFont="1" applyFill="1" applyBorder="1" applyProtection="1"/>
    <xf numFmtId="0" fontId="6" fillId="3" borderId="8" xfId="0" applyFont="1" applyFill="1" applyBorder="1" applyProtection="1"/>
    <xf numFmtId="0" fontId="0" fillId="3" borderId="9" xfId="0" applyFill="1" applyBorder="1" applyProtection="1"/>
    <xf numFmtId="0" fontId="33" fillId="3" borderId="0" xfId="0" applyFont="1" applyFill="1" applyBorder="1" applyAlignment="1" applyProtection="1">
      <alignment horizontal="centerContinuous"/>
    </xf>
    <xf numFmtId="0" fontId="25" fillId="3" borderId="0" xfId="0" applyFont="1" applyFill="1" applyBorder="1" applyAlignment="1" applyProtection="1">
      <alignment horizontal="centerContinuous"/>
    </xf>
    <xf numFmtId="0" fontId="4" fillId="3" borderId="0" xfId="0" applyFont="1" applyFill="1" applyBorder="1" applyAlignment="1" applyProtection="1">
      <alignment horizontal="centerContinuous"/>
    </xf>
    <xf numFmtId="0" fontId="0" fillId="3" borderId="0" xfId="0" applyFill="1" applyBorder="1" applyAlignment="1" applyProtection="1">
      <alignment horizontal="centerContinuous"/>
    </xf>
    <xf numFmtId="168" fontId="9" fillId="3" borderId="0" xfId="1" applyNumberFormat="1" applyFont="1" applyFill="1" applyBorder="1" applyAlignment="1" applyProtection="1">
      <alignment horizontal="centerContinuous"/>
    </xf>
    <xf numFmtId="0" fontId="28" fillId="3" borderId="1" xfId="0" applyFont="1" applyFill="1" applyBorder="1" applyAlignment="1" applyProtection="1">
      <alignment horizontal="center" vertical="center" wrapText="1"/>
    </xf>
    <xf numFmtId="170" fontId="9" fillId="3" borderId="0" xfId="1" applyNumberFormat="1" applyFont="1" applyFill="1" applyBorder="1" applyProtection="1"/>
    <xf numFmtId="0" fontId="28" fillId="3" borderId="1" xfId="0" applyFont="1" applyFill="1" applyBorder="1" applyAlignment="1" applyProtection="1">
      <alignment horizontal="centerContinuous" vertical="center" wrapText="1"/>
    </xf>
    <xf numFmtId="170" fontId="11" fillId="3" borderId="11" xfId="1" applyNumberFormat="1" applyFont="1" applyFill="1" applyBorder="1" applyProtection="1"/>
    <xf numFmtId="0" fontId="35" fillId="3" borderId="0" xfId="0" applyFont="1" applyFill="1" applyBorder="1" applyProtection="1"/>
    <xf numFmtId="0" fontId="23" fillId="3" borderId="0" xfId="0" applyFont="1" applyFill="1" applyBorder="1" applyProtection="1"/>
    <xf numFmtId="170" fontId="23" fillId="3" borderId="0" xfId="1" applyNumberFormat="1" applyFont="1" applyFill="1" applyBorder="1" applyProtection="1"/>
    <xf numFmtId="0" fontId="8" fillId="3" borderId="0" xfId="0" applyFont="1" applyFill="1" applyBorder="1" applyProtection="1"/>
    <xf numFmtId="170" fontId="9" fillId="3" borderId="5" xfId="1" applyNumberFormat="1" applyFont="1" applyFill="1" applyBorder="1" applyProtection="1"/>
    <xf numFmtId="168" fontId="34" fillId="3" borderId="0" xfId="1" applyNumberFormat="1" applyFont="1" applyFill="1" applyBorder="1" applyAlignment="1" applyProtection="1">
      <alignment horizontal="centerContinuous"/>
    </xf>
    <xf numFmtId="170" fontId="34" fillId="3" borderId="0" xfId="1" applyNumberFormat="1" applyFont="1" applyFill="1" applyBorder="1" applyAlignment="1" applyProtection="1">
      <alignment horizontal="centerContinuous"/>
    </xf>
    <xf numFmtId="0" fontId="0" fillId="3" borderId="10" xfId="0" applyFill="1" applyBorder="1" applyProtection="1"/>
    <xf numFmtId="170" fontId="17" fillId="3" borderId="0" xfId="1" applyNumberFormat="1" applyFont="1" applyFill="1" applyBorder="1" applyAlignment="1" applyProtection="1">
      <alignment horizontal="centerContinuous"/>
    </xf>
    <xf numFmtId="168" fontId="9" fillId="3" borderId="2" xfId="1" applyNumberFormat="1" applyFont="1" applyFill="1" applyBorder="1" applyProtection="1"/>
    <xf numFmtId="0" fontId="18" fillId="3" borderId="0" xfId="0" applyFont="1" applyFill="1" applyBorder="1" applyAlignment="1" applyProtection="1">
      <alignment horizontal="center"/>
    </xf>
    <xf numFmtId="0" fontId="20" fillId="10" borderId="0" xfId="0" applyFont="1" applyFill="1" applyBorder="1" applyAlignment="1" applyProtection="1">
      <alignment horizontal="centerContinuous"/>
    </xf>
    <xf numFmtId="0" fontId="8" fillId="3" borderId="0" xfId="0" applyFont="1" applyFill="1" applyBorder="1" applyAlignment="1" applyProtection="1">
      <alignment horizontal="right"/>
    </xf>
    <xf numFmtId="0" fontId="8" fillId="3" borderId="2" xfId="0" applyFont="1" applyFill="1" applyBorder="1" applyProtection="1"/>
    <xf numFmtId="0" fontId="44" fillId="3" borderId="0" xfId="0" applyFont="1" applyFill="1" applyBorder="1" applyAlignment="1" applyProtection="1"/>
    <xf numFmtId="0" fontId="44" fillId="3" borderId="0" xfId="0" applyFont="1" applyFill="1" applyBorder="1" applyProtection="1"/>
    <xf numFmtId="0" fontId="44" fillId="3" borderId="2" xfId="0" applyFont="1" applyFill="1" applyBorder="1" applyProtection="1"/>
    <xf numFmtId="0" fontId="44" fillId="3" borderId="8" xfId="0" applyFont="1" applyFill="1" applyBorder="1" applyAlignment="1" applyProtection="1"/>
    <xf numFmtId="0" fontId="44" fillId="3" borderId="8" xfId="0" applyFont="1" applyFill="1" applyBorder="1" applyProtection="1"/>
    <xf numFmtId="0" fontId="6" fillId="3" borderId="0" xfId="0" applyFont="1" applyFill="1" applyBorder="1" applyAlignment="1" applyProtection="1"/>
    <xf numFmtId="0" fontId="7" fillId="3" borderId="0" xfId="0" applyFont="1" applyFill="1" applyBorder="1" applyAlignment="1" applyProtection="1"/>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2" fillId="3" borderId="0" xfId="0" applyFont="1" applyFill="1" applyBorder="1" applyAlignment="1" applyProtection="1">
      <alignment horizontal="center"/>
    </xf>
    <xf numFmtId="0" fontId="23" fillId="3" borderId="3" xfId="0" applyFont="1" applyFill="1" applyBorder="1" applyProtection="1"/>
    <xf numFmtId="0" fontId="35" fillId="3" borderId="0" xfId="0" applyFont="1" applyFill="1" applyBorder="1" applyAlignment="1" applyProtection="1">
      <alignment horizontal="center"/>
    </xf>
    <xf numFmtId="0" fontId="44" fillId="3" borderId="0" xfId="0" applyFont="1" applyFill="1" applyBorder="1" applyAlignment="1" applyProtection="1">
      <alignment vertical="center"/>
    </xf>
    <xf numFmtId="0" fontId="8" fillId="3" borderId="0" xfId="0" applyFont="1" applyFill="1" applyBorder="1" applyAlignment="1" applyProtection="1"/>
    <xf numFmtId="0" fontId="6" fillId="3" borderId="0" xfId="0" applyFont="1" applyFill="1" applyBorder="1" applyAlignment="1" applyProtection="1">
      <alignment horizontal="left"/>
    </xf>
    <xf numFmtId="0" fontId="5" fillId="3" borderId="0" xfId="0" applyFont="1" applyFill="1" applyBorder="1" applyAlignment="1" applyProtection="1">
      <alignment horizontal="right"/>
    </xf>
    <xf numFmtId="0" fontId="46" fillId="3" borderId="0" xfId="0" applyFont="1" applyFill="1" applyBorder="1" applyAlignment="1" applyProtection="1">
      <alignment horizontal="right"/>
    </xf>
    <xf numFmtId="0" fontId="47" fillId="3" borderId="0" xfId="0" applyFont="1" applyFill="1" applyBorder="1" applyProtection="1"/>
    <xf numFmtId="0" fontId="42" fillId="3" borderId="9" xfId="0" applyFont="1" applyFill="1" applyBorder="1" applyAlignment="1" applyProtection="1">
      <alignment horizontal="center"/>
    </xf>
    <xf numFmtId="0" fontId="42" fillId="3" borderId="5" xfId="0" applyFont="1" applyFill="1" applyBorder="1" applyAlignment="1" applyProtection="1">
      <alignment horizontal="center"/>
    </xf>
    <xf numFmtId="0" fontId="15" fillId="3" borderId="5" xfId="0" applyFont="1" applyFill="1" applyBorder="1" applyAlignment="1" applyProtection="1">
      <alignment horizontal="center"/>
    </xf>
    <xf numFmtId="0" fontId="23" fillId="3" borderId="5" xfId="0" applyFont="1" applyFill="1" applyBorder="1" applyProtection="1"/>
    <xf numFmtId="0" fontId="41" fillId="3" borderId="0" xfId="0" applyFont="1" applyFill="1" applyBorder="1" applyAlignment="1" applyProtection="1"/>
    <xf numFmtId="0" fontId="49" fillId="3" borderId="0" xfId="0" applyFont="1" applyFill="1" applyBorder="1" applyProtection="1"/>
    <xf numFmtId="0" fontId="15" fillId="3" borderId="0" xfId="0" applyFont="1" applyFill="1" applyBorder="1" applyAlignment="1" applyProtection="1">
      <alignment horizontal="left"/>
    </xf>
    <xf numFmtId="0" fontId="42" fillId="3" borderId="5" xfId="0" applyFont="1" applyFill="1" applyBorder="1" applyAlignment="1" applyProtection="1">
      <alignment horizontal="left"/>
    </xf>
    <xf numFmtId="0" fontId="0" fillId="0" borderId="0" xfId="0" applyAlignment="1">
      <alignment horizontal="left"/>
    </xf>
    <xf numFmtId="0" fontId="5" fillId="3" borderId="2" xfId="0" applyFont="1" applyFill="1" applyBorder="1" applyAlignment="1" applyProtection="1">
      <alignment horizontal="right"/>
    </xf>
    <xf numFmtId="0" fontId="50" fillId="3" borderId="0" xfId="0" applyFont="1" applyFill="1" applyBorder="1" applyProtection="1"/>
    <xf numFmtId="0" fontId="0" fillId="11" borderId="3" xfId="0" applyFill="1" applyBorder="1"/>
    <xf numFmtId="4" fontId="0" fillId="0" borderId="13" xfId="0" applyNumberFormat="1" applyFill="1" applyBorder="1" applyProtection="1">
      <protection locked="0"/>
    </xf>
    <xf numFmtId="0" fontId="8" fillId="10" borderId="0" xfId="0" applyFont="1" applyFill="1" applyBorder="1" applyAlignment="1" applyProtection="1"/>
    <xf numFmtId="0" fontId="28" fillId="3" borderId="0" xfId="0" applyFont="1" applyFill="1" applyBorder="1" applyAlignment="1" applyProtection="1">
      <alignment horizontal="center"/>
    </xf>
    <xf numFmtId="0" fontId="28" fillId="3" borderId="4" xfId="0" applyFont="1" applyFill="1" applyBorder="1" applyAlignment="1" applyProtection="1">
      <alignment horizontal="center" vertical="top"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vertical="center"/>
    </xf>
    <xf numFmtId="10" fontId="26" fillId="3" borderId="2" xfId="0" applyNumberFormat="1" applyFont="1" applyFill="1" applyBorder="1" applyAlignment="1" applyProtection="1">
      <alignment horizontal="right" vertical="center"/>
    </xf>
    <xf numFmtId="0" fontId="46" fillId="3" borderId="8" xfId="0" applyFont="1" applyFill="1" applyBorder="1" applyAlignment="1" applyProtection="1">
      <alignment horizontal="right"/>
    </xf>
    <xf numFmtId="0" fontId="23" fillId="3" borderId="3" xfId="0" applyFont="1" applyFill="1" applyBorder="1" applyAlignment="1" applyProtection="1">
      <alignment horizontal="right" vertical="center"/>
    </xf>
    <xf numFmtId="0" fontId="43" fillId="3" borderId="0" xfId="0"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0" fontId="23" fillId="3" borderId="5" xfId="0" applyFont="1" applyFill="1" applyBorder="1" applyAlignment="1" applyProtection="1">
      <alignment horizontal="right" vertical="center"/>
    </xf>
    <xf numFmtId="0" fontId="0" fillId="0" borderId="0" xfId="0" applyBorder="1" applyAlignment="1">
      <alignment horizontal="right" vertical="center"/>
    </xf>
    <xf numFmtId="0" fontId="23" fillId="3" borderId="3"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0" fillId="0" borderId="0" xfId="0" applyBorder="1" applyAlignment="1">
      <alignment horizontal="center" vertical="center"/>
    </xf>
    <xf numFmtId="0" fontId="8" fillId="0" borderId="0" xfId="1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right"/>
    </xf>
    <xf numFmtId="0" fontId="44" fillId="3" borderId="3" xfId="0" applyFont="1" applyFill="1" applyBorder="1" applyAlignment="1" applyProtection="1"/>
    <xf numFmtId="0" fontId="44" fillId="3" borderId="5" xfId="0" applyFont="1" applyFill="1" applyBorder="1" applyAlignment="1" applyProtection="1">
      <alignment horizontal="center"/>
    </xf>
    <xf numFmtId="0" fontId="44" fillId="3" borderId="2" xfId="0" applyFont="1" applyFill="1" applyBorder="1" applyAlignment="1" applyProtection="1"/>
    <xf numFmtId="0" fontId="44" fillId="7" borderId="15" xfId="0" applyFont="1" applyFill="1" applyBorder="1" applyAlignment="1" applyProtection="1"/>
    <xf numFmtId="0" fontId="44" fillId="7" borderId="16" xfId="0" applyFont="1" applyFill="1" applyBorder="1" applyAlignment="1" applyProtection="1"/>
    <xf numFmtId="0" fontId="44" fillId="7" borderId="17" xfId="0" applyFont="1" applyFill="1" applyBorder="1" applyAlignment="1" applyProtection="1"/>
    <xf numFmtId="0" fontId="44" fillId="7" borderId="18" xfId="0" applyFont="1" applyFill="1" applyBorder="1" applyAlignment="1" applyProtection="1"/>
    <xf numFmtId="0" fontId="44" fillId="7" borderId="0" xfId="0" applyFont="1" applyFill="1" applyBorder="1" applyAlignment="1" applyProtection="1"/>
    <xf numFmtId="0" fontId="44" fillId="7" borderId="19" xfId="0" applyFont="1" applyFill="1" applyBorder="1" applyAlignment="1" applyProtection="1"/>
    <xf numFmtId="0" fontId="8" fillId="7" borderId="0" xfId="0" applyFont="1" applyFill="1" applyBorder="1" applyAlignment="1" applyProtection="1"/>
    <xf numFmtId="0" fontId="44" fillId="7" borderId="20" xfId="0" applyFont="1" applyFill="1" applyBorder="1" applyAlignment="1" applyProtection="1"/>
    <xf numFmtId="0" fontId="44" fillId="7" borderId="21" xfId="0" applyFont="1" applyFill="1" applyBorder="1" applyAlignment="1" applyProtection="1"/>
    <xf numFmtId="0" fontId="44" fillId="7" borderId="22" xfId="0" applyFont="1" applyFill="1" applyBorder="1" applyAlignment="1" applyProtection="1"/>
    <xf numFmtId="2" fontId="56" fillId="3" borderId="6" xfId="1" applyNumberFormat="1" applyFont="1" applyFill="1" applyBorder="1" applyAlignment="1" applyProtection="1">
      <alignment horizontal="center"/>
    </xf>
    <xf numFmtId="0" fontId="52" fillId="3" borderId="0" xfId="0" applyFont="1" applyFill="1" applyBorder="1" applyAlignment="1" applyProtection="1">
      <alignment horizontal="center"/>
    </xf>
    <xf numFmtId="0" fontId="44" fillId="3" borderId="0" xfId="0" applyFont="1" applyFill="1" applyBorder="1" applyAlignment="1" applyProtection="1">
      <alignment horizontal="right"/>
    </xf>
    <xf numFmtId="0" fontId="2" fillId="0" borderId="0" xfId="0" applyFont="1"/>
    <xf numFmtId="0" fontId="62" fillId="0" borderId="0" xfId="0" applyFont="1"/>
    <xf numFmtId="0" fontId="63" fillId="0" borderId="0" xfId="0" applyFont="1"/>
    <xf numFmtId="0" fontId="64" fillId="0" borderId="0" xfId="0" applyFont="1"/>
    <xf numFmtId="0" fontId="23" fillId="0" borderId="0" xfId="0" applyFont="1" applyFill="1" applyBorder="1"/>
    <xf numFmtId="0" fontId="52" fillId="3" borderId="5" xfId="0" applyFont="1" applyFill="1" applyBorder="1" applyAlignment="1" applyProtection="1">
      <alignment horizontal="center"/>
    </xf>
    <xf numFmtId="0" fontId="0" fillId="3" borderId="3" xfId="0" applyFill="1" applyBorder="1" applyAlignment="1" applyProtection="1">
      <alignment wrapText="1"/>
    </xf>
    <xf numFmtId="0" fontId="11" fillId="7" borderId="6" xfId="0" applyNumberFormat="1"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wrapText="1"/>
      <protection locked="0"/>
    </xf>
    <xf numFmtId="10" fontId="11" fillId="3" borderId="6" xfId="22" applyNumberFormat="1" applyFont="1" applyFill="1" applyBorder="1" applyAlignment="1" applyProtection="1">
      <alignment vertical="center" wrapText="1"/>
    </xf>
    <xf numFmtId="170" fontId="11" fillId="7" borderId="6" xfId="1" applyNumberFormat="1" applyFont="1" applyFill="1" applyBorder="1" applyAlignment="1" applyProtection="1">
      <alignment vertical="center" wrapText="1"/>
      <protection locked="0"/>
    </xf>
    <xf numFmtId="3" fontId="11" fillId="3" borderId="6" xfId="1" applyNumberFormat="1" applyFont="1" applyFill="1" applyBorder="1" applyAlignment="1" applyProtection="1">
      <alignment vertical="center" wrapText="1"/>
    </xf>
    <xf numFmtId="0" fontId="0" fillId="3" borderId="5" xfId="0" applyFill="1" applyBorder="1" applyAlignment="1" applyProtection="1">
      <alignment wrapText="1"/>
    </xf>
    <xf numFmtId="0" fontId="0" fillId="0" borderId="0" xfId="0" applyAlignment="1" applyProtection="1">
      <alignment wrapText="1"/>
    </xf>
    <xf numFmtId="3" fontId="0" fillId="0" borderId="6" xfId="0" applyNumberFormat="1" applyFill="1" applyBorder="1" applyProtection="1">
      <protection locked="0"/>
    </xf>
    <xf numFmtId="4" fontId="0" fillId="3" borderId="6" xfId="0" applyNumberFormat="1" applyFill="1" applyBorder="1" applyProtection="1">
      <protection locked="0"/>
    </xf>
    <xf numFmtId="4" fontId="0" fillId="3" borderId="23" xfId="0" applyNumberFormat="1" applyFill="1" applyBorder="1" applyProtection="1">
      <protection locked="0"/>
    </xf>
    <xf numFmtId="3" fontId="0" fillId="3" borderId="6" xfId="0" applyNumberFormat="1" applyFill="1" applyBorder="1" applyProtection="1">
      <protection locked="0"/>
    </xf>
    <xf numFmtId="4" fontId="0" fillId="3" borderId="12" xfId="0" applyNumberFormat="1" applyFill="1" applyBorder="1" applyProtection="1">
      <protection locked="0"/>
    </xf>
    <xf numFmtId="2" fontId="56" fillId="3" borderId="12" xfId="1" applyNumberFormat="1" applyFont="1" applyFill="1" applyBorder="1" applyAlignment="1" applyProtection="1">
      <alignment horizontal="center"/>
    </xf>
    <xf numFmtId="0" fontId="0" fillId="0" borderId="0" xfId="0" applyFill="1"/>
    <xf numFmtId="0" fontId="4" fillId="0" borderId="0" xfId="0" applyFont="1" applyFill="1" applyProtection="1"/>
    <xf numFmtId="10" fontId="68" fillId="0" borderId="6" xfId="22" applyNumberFormat="1" applyFont="1" applyFill="1" applyBorder="1" applyAlignment="1" applyProtection="1">
      <alignment horizontal="center"/>
      <protection locked="0"/>
    </xf>
    <xf numFmtId="10" fontId="23" fillId="3" borderId="0" xfId="0" applyNumberFormat="1" applyFont="1" applyFill="1" applyBorder="1" applyAlignment="1" applyProtection="1">
      <alignment horizontal="right"/>
    </xf>
    <xf numFmtId="0" fontId="15" fillId="3" borderId="0" xfId="8" applyFont="1" applyFill="1" applyBorder="1" applyAlignment="1" applyProtection="1"/>
    <xf numFmtId="0" fontId="59" fillId="3" borderId="0" xfId="0" applyFont="1" applyFill="1" applyBorder="1" applyProtection="1"/>
    <xf numFmtId="0" fontId="44" fillId="3" borderId="0" xfId="0" applyFont="1" applyFill="1" applyProtection="1"/>
    <xf numFmtId="0" fontId="6" fillId="3" borderId="0" xfId="0" applyFont="1" applyFill="1" applyBorder="1" applyAlignment="1" applyProtection="1">
      <alignment horizontal="center" wrapText="1"/>
    </xf>
    <xf numFmtId="0" fontId="32" fillId="3" borderId="0" xfId="0" applyFont="1" applyFill="1" applyBorder="1" applyAlignment="1" applyProtection="1">
      <alignment horizontal="center" wrapText="1"/>
    </xf>
    <xf numFmtId="0" fontId="42"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0" fillId="0" borderId="0" xfId="0" applyBorder="1" applyAlignment="1"/>
    <xf numFmtId="3" fontId="0" fillId="0" borderId="13" xfId="0" applyNumberFormat="1" applyFill="1" applyBorder="1" applyProtection="1">
      <protection locked="0"/>
    </xf>
    <xf numFmtId="0" fontId="8" fillId="3" borderId="0" xfId="0" applyFont="1" applyFill="1" applyBorder="1" applyAlignment="1" applyProtection="1">
      <alignment horizontal="left"/>
    </xf>
    <xf numFmtId="0" fontId="44" fillId="3" borderId="0" xfId="0" applyFont="1" applyFill="1" applyBorder="1" applyAlignment="1" applyProtection="1">
      <alignment horizontal="left"/>
    </xf>
    <xf numFmtId="0" fontId="7" fillId="3" borderId="8" xfId="0" applyFont="1" applyFill="1" applyBorder="1" applyAlignment="1" applyProtection="1"/>
    <xf numFmtId="0" fontId="44" fillId="0" borderId="0" xfId="0" applyFont="1" applyFill="1" applyBorder="1" applyAlignment="1" applyProtection="1">
      <alignment horizontal="left"/>
    </xf>
    <xf numFmtId="0" fontId="0" fillId="0" borderId="0" xfId="0" applyFill="1" applyAlignment="1" applyProtection="1">
      <alignment horizontal="left"/>
    </xf>
    <xf numFmtId="0" fontId="44" fillId="0" borderId="0" xfId="0" applyFont="1" applyFill="1" applyBorder="1" applyAlignment="1" applyProtection="1"/>
    <xf numFmtId="0" fontId="0" fillId="0" borderId="0" xfId="0" applyFill="1" applyBorder="1" applyAlignment="1"/>
    <xf numFmtId="0" fontId="0" fillId="3" borderId="5" xfId="0" applyFill="1" applyBorder="1" applyAlignment="1" applyProtection="1"/>
    <xf numFmtId="0" fontId="8" fillId="3" borderId="5" xfId="0" applyFont="1" applyFill="1" applyBorder="1" applyAlignment="1" applyProtection="1">
      <alignment horizontal="left"/>
    </xf>
    <xf numFmtId="0" fontId="5" fillId="3" borderId="5" xfId="0" applyFont="1" applyFill="1" applyBorder="1" applyAlignment="1" applyProtection="1">
      <alignment horizontal="right"/>
    </xf>
    <xf numFmtId="0" fontId="44" fillId="3" borderId="5" xfId="0" applyFont="1" applyFill="1" applyBorder="1" applyAlignment="1" applyProtection="1"/>
    <xf numFmtId="0" fontId="7" fillId="3" borderId="2" xfId="0" applyFont="1" applyFill="1" applyBorder="1" applyAlignment="1" applyProtection="1"/>
    <xf numFmtId="0" fontId="19" fillId="3" borderId="0" xfId="0" applyFont="1" applyFill="1" applyBorder="1" applyAlignment="1" applyProtection="1">
      <alignment horizontal="center"/>
    </xf>
    <xf numFmtId="0" fontId="23" fillId="3" borderId="0" xfId="0" applyFont="1" applyFill="1" applyBorder="1" applyAlignment="1" applyProtection="1"/>
    <xf numFmtId="0" fontId="0" fillId="3" borderId="0" xfId="0" applyFill="1" applyAlignment="1" applyProtection="1"/>
    <xf numFmtId="0" fontId="44" fillId="3" borderId="10" xfId="0" applyFont="1" applyFill="1" applyBorder="1" applyAlignment="1" applyProtection="1">
      <alignment horizontal="center"/>
    </xf>
    <xf numFmtId="0" fontId="32" fillId="3" borderId="23" xfId="0" applyFont="1" applyFill="1" applyBorder="1" applyAlignment="1" applyProtection="1">
      <alignment horizontal="center" wrapText="1"/>
    </xf>
    <xf numFmtId="0" fontId="27" fillId="3" borderId="0" xfId="0" applyFont="1" applyFill="1" applyBorder="1" applyAlignment="1" applyProtection="1">
      <alignment horizontal="center"/>
    </xf>
    <xf numFmtId="0" fontId="39" fillId="3" borderId="0" xfId="0" applyFont="1" applyFill="1" applyBorder="1" applyAlignment="1" applyProtection="1">
      <alignment horizontal="center"/>
    </xf>
    <xf numFmtId="0" fontId="5" fillId="3" borderId="24" xfId="0" applyFont="1" applyFill="1" applyBorder="1" applyAlignment="1" applyProtection="1">
      <alignment horizontal="center" vertical="center" wrapText="1"/>
    </xf>
    <xf numFmtId="4" fontId="0" fillId="3" borderId="25" xfId="0" applyNumberFormat="1" applyFill="1" applyBorder="1" applyProtection="1"/>
    <xf numFmtId="0" fontId="27" fillId="3" borderId="0" xfId="0" applyFont="1" applyFill="1" applyBorder="1" applyAlignment="1" applyProtection="1">
      <alignment horizontal="center"/>
      <protection locked="0"/>
    </xf>
    <xf numFmtId="0" fontId="0" fillId="3" borderId="0" xfId="0" applyFill="1" applyBorder="1" applyProtection="1">
      <protection locked="0"/>
    </xf>
    <xf numFmtId="0" fontId="61" fillId="0" borderId="26" xfId="0" applyFont="1" applyBorder="1" applyProtection="1">
      <protection locked="0"/>
    </xf>
    <xf numFmtId="0" fontId="32" fillId="0" borderId="26" xfId="0" applyFont="1" applyBorder="1" applyProtection="1">
      <protection locked="0"/>
    </xf>
    <xf numFmtId="0" fontId="5" fillId="3" borderId="0" xfId="0" applyFont="1" applyFill="1" applyBorder="1" applyAlignment="1" applyProtection="1">
      <alignment horizontal="center"/>
    </xf>
    <xf numFmtId="0" fontId="0" fillId="3" borderId="0" xfId="0" applyFill="1" applyBorder="1" applyAlignment="1" applyProtection="1">
      <alignment horizontal="left"/>
    </xf>
    <xf numFmtId="0" fontId="40" fillId="3" borderId="0" xfId="0" applyFont="1" applyFill="1" applyBorder="1" applyAlignment="1" applyProtection="1"/>
    <xf numFmtId="0" fontId="39" fillId="3" borderId="0" xfId="0" applyFont="1" applyFill="1" applyBorder="1" applyAlignment="1" applyProtection="1"/>
    <xf numFmtId="0" fontId="50" fillId="3" borderId="0" xfId="0" applyFont="1" applyFill="1" applyBorder="1" applyAlignment="1" applyProtection="1">
      <alignment horizontal="left"/>
    </xf>
    <xf numFmtId="0" fontId="0" fillId="3" borderId="27" xfId="0" applyFill="1" applyBorder="1" applyProtection="1"/>
    <xf numFmtId="0" fontId="0" fillId="12" borderId="28" xfId="0" applyFill="1" applyBorder="1" applyProtection="1"/>
    <xf numFmtId="0" fontId="0" fillId="0" borderId="29" xfId="0" applyBorder="1" applyAlignment="1" applyProtection="1"/>
    <xf numFmtId="0" fontId="0" fillId="12" borderId="29" xfId="0" applyFill="1" applyBorder="1" applyAlignment="1" applyProtection="1"/>
    <xf numFmtId="0" fontId="5" fillId="3" borderId="30" xfId="0" applyFont="1" applyFill="1" applyBorder="1" applyAlignment="1" applyProtection="1">
      <alignment horizontal="left" vertical="center" wrapText="1"/>
    </xf>
    <xf numFmtId="0" fontId="5" fillId="3" borderId="31" xfId="0" applyFont="1" applyFill="1" applyBorder="1" applyAlignment="1" applyProtection="1">
      <alignment horizontal="left"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5" fillId="3" borderId="34" xfId="0" applyFont="1" applyFill="1" applyBorder="1" applyAlignment="1" applyProtection="1">
      <alignment horizontal="center" vertical="center" wrapText="1"/>
    </xf>
    <xf numFmtId="0" fontId="5" fillId="3" borderId="35"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0" fontId="5" fillId="3" borderId="36" xfId="0" applyFont="1" applyFill="1" applyBorder="1" applyAlignment="1" applyProtection="1">
      <alignment horizontal="left" vertical="center" wrapText="1"/>
    </xf>
    <xf numFmtId="0" fontId="5" fillId="3" borderId="37" xfId="0" applyFont="1" applyFill="1" applyBorder="1" applyAlignment="1" applyProtection="1">
      <alignment horizontal="center" vertical="center" wrapText="1"/>
    </xf>
    <xf numFmtId="0" fontId="5" fillId="3" borderId="24" xfId="0" applyFont="1" applyFill="1" applyBorder="1" applyAlignment="1" applyProtection="1">
      <alignment horizontal="left" vertical="center" wrapText="1"/>
    </xf>
    <xf numFmtId="44" fontId="4" fillId="3" borderId="38" xfId="3" applyFont="1" applyFill="1" applyBorder="1" applyAlignment="1" applyProtection="1">
      <alignment horizontal="left" vertical="center" wrapText="1"/>
    </xf>
    <xf numFmtId="43" fontId="4" fillId="3" borderId="39" xfId="1" applyFont="1" applyFill="1" applyBorder="1" applyAlignment="1" applyProtection="1">
      <alignment horizontal="center"/>
    </xf>
    <xf numFmtId="43" fontId="5" fillId="3" borderId="23" xfId="1" applyFont="1" applyFill="1" applyBorder="1" applyAlignment="1" applyProtection="1">
      <alignment horizontal="center"/>
    </xf>
    <xf numFmtId="43" fontId="4" fillId="3" borderId="6" xfId="1" applyFont="1" applyFill="1" applyBorder="1" applyAlignment="1" applyProtection="1">
      <alignment horizontal="center"/>
    </xf>
    <xf numFmtId="43" fontId="4" fillId="3" borderId="11" xfId="1" applyFont="1" applyFill="1" applyBorder="1" applyAlignment="1" applyProtection="1">
      <alignment horizontal="center"/>
    </xf>
    <xf numFmtId="43" fontId="5" fillId="3" borderId="40" xfId="1" applyFont="1" applyFill="1" applyBorder="1" applyAlignment="1" applyProtection="1">
      <alignment horizontal="center"/>
    </xf>
    <xf numFmtId="43" fontId="4" fillId="3" borderId="23" xfId="1" applyFont="1" applyFill="1" applyBorder="1" applyAlignment="1" applyProtection="1">
      <alignment horizontal="center"/>
    </xf>
    <xf numFmtId="43" fontId="5" fillId="3" borderId="12" xfId="1" applyFont="1" applyFill="1" applyBorder="1" applyAlignment="1" applyProtection="1">
      <alignment horizontal="center"/>
    </xf>
    <xf numFmtId="0" fontId="5" fillId="3" borderId="23" xfId="0" applyFont="1" applyFill="1" applyBorder="1" applyAlignment="1" applyProtection="1">
      <alignment horizontal="left" vertical="center" wrapText="1"/>
    </xf>
    <xf numFmtId="44" fontId="4" fillId="3" borderId="41" xfId="3" applyFont="1" applyFill="1" applyBorder="1" applyAlignment="1" applyProtection="1">
      <alignment horizontal="left" vertical="center" wrapText="1"/>
    </xf>
    <xf numFmtId="43" fontId="4" fillId="3" borderId="26" xfId="1" applyFont="1" applyFill="1" applyBorder="1" applyAlignment="1" applyProtection="1">
      <alignment horizontal="center"/>
    </xf>
    <xf numFmtId="4" fontId="0" fillId="3" borderId="26" xfId="0" applyNumberFormat="1" applyFill="1" applyBorder="1" applyProtection="1"/>
    <xf numFmtId="5" fontId="0" fillId="3" borderId="6" xfId="0" applyNumberFormat="1" applyFill="1" applyBorder="1" applyAlignment="1" applyProtection="1">
      <alignment horizontal="left"/>
    </xf>
    <xf numFmtId="5" fontId="0" fillId="3" borderId="38" xfId="0" applyNumberFormat="1" applyFill="1" applyBorder="1" applyAlignment="1" applyProtection="1">
      <alignment horizontal="left"/>
    </xf>
    <xf numFmtId="43" fontId="9" fillId="3" borderId="39" xfId="1" applyFont="1" applyFill="1" applyBorder="1" applyProtection="1"/>
    <xf numFmtId="10" fontId="9" fillId="3" borderId="23" xfId="22" applyNumberFormat="1" applyFont="1" applyFill="1" applyBorder="1" applyProtection="1"/>
    <xf numFmtId="10" fontId="9" fillId="3" borderId="6" xfId="22" applyNumberFormat="1" applyFont="1" applyFill="1" applyBorder="1" applyProtection="1"/>
    <xf numFmtId="43" fontId="9" fillId="3" borderId="11" xfId="1" applyFont="1" applyFill="1" applyBorder="1" applyProtection="1"/>
    <xf numFmtId="10" fontId="9" fillId="3" borderId="40" xfId="22" applyNumberFormat="1" applyFont="1" applyFill="1" applyBorder="1" applyProtection="1"/>
    <xf numFmtId="43" fontId="9" fillId="3" borderId="6" xfId="1" applyFont="1" applyFill="1" applyBorder="1" applyProtection="1"/>
    <xf numFmtId="10" fontId="9" fillId="3" borderId="12" xfId="22" applyNumberFormat="1" applyFont="1" applyFill="1" applyBorder="1" applyProtection="1"/>
    <xf numFmtId="5" fontId="0" fillId="3" borderId="23" xfId="0" applyNumberFormat="1" applyFill="1" applyBorder="1" applyAlignment="1" applyProtection="1">
      <alignment horizontal="left"/>
    </xf>
    <xf numFmtId="5" fontId="0" fillId="3" borderId="41" xfId="0" applyNumberFormat="1" applyFill="1" applyBorder="1" applyAlignment="1" applyProtection="1">
      <alignment horizontal="left"/>
    </xf>
    <xf numFmtId="5" fontId="0" fillId="3" borderId="13" xfId="0" applyNumberFormat="1" applyFill="1" applyBorder="1" applyAlignment="1" applyProtection="1">
      <alignment horizontal="left"/>
    </xf>
    <xf numFmtId="5" fontId="0" fillId="3" borderId="42" xfId="0" applyNumberFormat="1" applyFill="1" applyBorder="1" applyAlignment="1" applyProtection="1">
      <alignment horizontal="left"/>
    </xf>
    <xf numFmtId="43" fontId="9" fillId="3" borderId="43" xfId="1" applyFont="1" applyFill="1" applyBorder="1" applyProtection="1"/>
    <xf numFmtId="10" fontId="9" fillId="3" borderId="44" xfId="22" applyNumberFormat="1" applyFont="1" applyFill="1" applyBorder="1" applyProtection="1"/>
    <xf numFmtId="10" fontId="9" fillId="3" borderId="13" xfId="22" applyNumberFormat="1" applyFont="1" applyFill="1" applyBorder="1" applyProtection="1"/>
    <xf numFmtId="43" fontId="9" fillId="3" borderId="45" xfId="1" applyFont="1" applyFill="1" applyBorder="1" applyProtection="1"/>
    <xf numFmtId="10" fontId="9" fillId="3" borderId="46" xfId="22" applyNumberFormat="1" applyFont="1" applyFill="1" applyBorder="1" applyProtection="1"/>
    <xf numFmtId="43" fontId="9" fillId="3" borderId="13" xfId="1" applyFont="1" applyFill="1" applyBorder="1" applyProtection="1"/>
    <xf numFmtId="5" fontId="0" fillId="3" borderId="47" xfId="0" applyNumberFormat="1" applyFill="1" applyBorder="1" applyAlignment="1" applyProtection="1">
      <alignment horizontal="left"/>
    </xf>
    <xf numFmtId="5" fontId="0" fillId="3" borderId="48" xfId="0" applyNumberFormat="1" applyFill="1" applyBorder="1" applyAlignment="1" applyProtection="1">
      <alignment horizontal="left"/>
    </xf>
    <xf numFmtId="10" fontId="9" fillId="3" borderId="14" xfId="22" applyNumberFormat="1" applyFont="1" applyFill="1" applyBorder="1" applyProtection="1"/>
    <xf numFmtId="0" fontId="0" fillId="3" borderId="49" xfId="0" applyFill="1" applyBorder="1" applyProtection="1"/>
    <xf numFmtId="5" fontId="0" fillId="3" borderId="0" xfId="0" applyNumberFormat="1" applyFill="1" applyBorder="1" applyAlignment="1" applyProtection="1">
      <alignment horizontal="left"/>
    </xf>
    <xf numFmtId="0" fontId="0" fillId="3" borderId="50" xfId="0" applyFill="1" applyBorder="1" applyProtection="1"/>
    <xf numFmtId="0" fontId="5" fillId="3" borderId="18" xfId="0" applyFont="1" applyFill="1" applyBorder="1" applyAlignment="1" applyProtection="1">
      <alignment horizontal="left" vertical="center" wrapText="1"/>
    </xf>
    <xf numFmtId="0" fontId="5" fillId="3" borderId="51" xfId="0" applyFont="1" applyFill="1" applyBorder="1" applyAlignment="1" applyProtection="1">
      <alignment horizontal="left" vertical="center" wrapText="1"/>
    </xf>
    <xf numFmtId="5" fontId="0" fillId="3" borderId="52" xfId="0" applyNumberFormat="1" applyFill="1" applyBorder="1" applyAlignment="1" applyProtection="1">
      <alignment horizontal="left"/>
    </xf>
    <xf numFmtId="5" fontId="0" fillId="3" borderId="53" xfId="0" applyNumberFormat="1" applyFill="1" applyBorder="1" applyAlignment="1" applyProtection="1">
      <alignment horizontal="left"/>
    </xf>
    <xf numFmtId="0" fontId="0" fillId="12" borderId="54" xfId="0" applyFill="1" applyBorder="1" applyProtection="1"/>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xf>
    <xf numFmtId="0" fontId="5" fillId="3" borderId="57" xfId="0" applyFont="1" applyFill="1" applyBorder="1" applyAlignment="1" applyProtection="1">
      <alignment horizontal="left" vertical="center" wrapText="1"/>
    </xf>
    <xf numFmtId="44" fontId="4" fillId="3" borderId="52" xfId="3" applyFont="1" applyFill="1" applyBorder="1" applyAlignment="1" applyProtection="1">
      <alignment horizontal="left" vertical="center" wrapText="1"/>
    </xf>
    <xf numFmtId="5" fontId="0" fillId="3" borderId="58" xfId="0" applyNumberFormat="1" applyFill="1" applyBorder="1" applyAlignment="1" applyProtection="1">
      <alignment horizontal="left"/>
    </xf>
    <xf numFmtId="5" fontId="0" fillId="3" borderId="59" xfId="0" applyNumberFormat="1" applyFill="1" applyBorder="1" applyAlignment="1" applyProtection="1">
      <alignment horizontal="left"/>
    </xf>
    <xf numFmtId="5" fontId="0" fillId="3" borderId="60" xfId="0" applyNumberFormat="1" applyFill="1" applyBorder="1" applyAlignment="1" applyProtection="1">
      <alignment horizontal="left"/>
    </xf>
    <xf numFmtId="0" fontId="5" fillId="3" borderId="30" xfId="0" applyFont="1" applyFill="1" applyBorder="1" applyProtection="1"/>
    <xf numFmtId="0" fontId="5" fillId="3" borderId="31" xfId="0" applyFont="1" applyFill="1" applyBorder="1" applyAlignment="1" applyProtection="1">
      <alignment wrapText="1"/>
    </xf>
    <xf numFmtId="0" fontId="5" fillId="3" borderId="32"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12" xfId="0" applyFont="1" applyFill="1" applyBorder="1" applyAlignment="1" applyProtection="1">
      <alignment horizontal="center" wrapText="1"/>
    </xf>
    <xf numFmtId="0" fontId="0" fillId="3" borderId="37" xfId="0" applyFill="1" applyBorder="1" applyProtection="1"/>
    <xf numFmtId="0" fontId="0" fillId="3" borderId="24" xfId="0" applyFill="1" applyBorder="1" applyProtection="1"/>
    <xf numFmtId="0" fontId="0" fillId="3" borderId="61" xfId="0" applyFill="1" applyBorder="1" applyProtection="1"/>
    <xf numFmtId="0" fontId="57" fillId="3" borderId="5" xfId="0" applyFont="1" applyFill="1" applyBorder="1" applyProtection="1"/>
    <xf numFmtId="0" fontId="23" fillId="3" borderId="1" xfId="0" applyFont="1" applyFill="1" applyBorder="1" applyProtection="1"/>
    <xf numFmtId="0" fontId="23" fillId="3" borderId="8" xfId="0" applyFont="1" applyFill="1" applyBorder="1" applyProtection="1"/>
    <xf numFmtId="0" fontId="23" fillId="3" borderId="9" xfId="0" applyFont="1" applyFill="1" applyBorder="1" applyProtection="1"/>
    <xf numFmtId="168" fontId="23" fillId="3" borderId="0" xfId="1" applyNumberFormat="1" applyFont="1" applyFill="1" applyBorder="1" applyProtection="1"/>
    <xf numFmtId="0" fontId="23" fillId="3" borderId="0" xfId="0" applyFont="1" applyFill="1" applyBorder="1" applyAlignment="1" applyProtection="1">
      <alignment horizontal="right"/>
    </xf>
    <xf numFmtId="0" fontId="6" fillId="3" borderId="0" xfId="0" applyFont="1" applyFill="1" applyBorder="1" applyAlignment="1" applyProtection="1">
      <alignment horizontal="right"/>
    </xf>
    <xf numFmtId="168" fontId="6" fillId="3" borderId="62" xfId="0" applyNumberFormat="1" applyFont="1" applyFill="1" applyBorder="1" applyProtection="1"/>
    <xf numFmtId="10" fontId="23" fillId="3" borderId="0" xfId="0" applyNumberFormat="1" applyFont="1" applyFill="1" applyBorder="1" applyProtection="1"/>
    <xf numFmtId="3" fontId="23" fillId="3" borderId="0" xfId="0" applyNumberFormat="1" applyFont="1" applyFill="1" applyBorder="1" applyProtection="1"/>
    <xf numFmtId="5" fontId="23" fillId="3" borderId="0" xfId="0" applyNumberFormat="1" applyFont="1" applyFill="1" applyBorder="1" applyProtection="1"/>
    <xf numFmtId="0" fontId="45" fillId="3" borderId="0" xfId="0" applyFont="1" applyFill="1" applyBorder="1" applyProtection="1"/>
    <xf numFmtId="5" fontId="23" fillId="3" borderId="2" xfId="0" applyNumberFormat="1" applyFont="1" applyFill="1" applyBorder="1" applyProtection="1"/>
    <xf numFmtId="10" fontId="53" fillId="3" borderId="2" xfId="0" applyNumberFormat="1" applyFont="1" applyFill="1" applyBorder="1" applyAlignment="1" applyProtection="1">
      <alignment horizontal="right"/>
    </xf>
    <xf numFmtId="5" fontId="53" fillId="3" borderId="0" xfId="0" applyNumberFormat="1" applyFont="1" applyFill="1" applyBorder="1" applyProtection="1"/>
    <xf numFmtId="10" fontId="15" fillId="3" borderId="62" xfId="0" applyNumberFormat="1" applyFont="1" applyFill="1" applyBorder="1" applyAlignment="1" applyProtection="1">
      <alignment horizontal="right"/>
    </xf>
    <xf numFmtId="168" fontId="15" fillId="3" borderId="62" xfId="0" applyNumberFormat="1" applyFont="1" applyFill="1" applyBorder="1" applyProtection="1"/>
    <xf numFmtId="10" fontId="53" fillId="3" borderId="0" xfId="0" applyNumberFormat="1" applyFont="1" applyFill="1" applyBorder="1" applyProtection="1"/>
    <xf numFmtId="0" fontId="54" fillId="3" borderId="0" xfId="0" applyFont="1" applyFill="1" applyBorder="1" applyProtection="1"/>
    <xf numFmtId="0" fontId="67" fillId="3" borderId="0" xfId="0" applyFont="1" applyFill="1" applyBorder="1" applyProtection="1"/>
    <xf numFmtId="168" fontId="23" fillId="3" borderId="62" xfId="0" applyNumberFormat="1" applyFont="1" applyFill="1" applyBorder="1" applyProtection="1"/>
    <xf numFmtId="0" fontId="23" fillId="3" borderId="7" xfId="0" applyFont="1" applyFill="1" applyBorder="1" applyProtection="1"/>
    <xf numFmtId="0" fontId="23" fillId="3" borderId="2" xfId="0" applyFont="1" applyFill="1" applyBorder="1" applyProtection="1"/>
    <xf numFmtId="0" fontId="23" fillId="3" borderId="10" xfId="0" applyFont="1" applyFill="1" applyBorder="1" applyProtection="1"/>
    <xf numFmtId="0" fontId="0" fillId="3" borderId="0" xfId="0" applyFill="1" applyBorder="1" applyAlignment="1" applyProtection="1">
      <alignment horizontal="center"/>
    </xf>
    <xf numFmtId="169" fontId="0" fillId="3" borderId="0" xfId="0" applyNumberFormat="1" applyFill="1" applyBorder="1" applyAlignment="1" applyProtection="1">
      <alignment horizontal="center"/>
    </xf>
    <xf numFmtId="0" fontId="0" fillId="3" borderId="0" xfId="0" applyFill="1" applyBorder="1" applyAlignment="1" applyProtection="1"/>
    <xf numFmtId="0" fontId="17" fillId="3" borderId="0" xfId="0" applyFont="1" applyFill="1" applyBorder="1" applyAlignment="1" applyProtection="1">
      <alignment horizontal="center"/>
    </xf>
    <xf numFmtId="0" fontId="60" fillId="3" borderId="0" xfId="0" applyFont="1" applyFill="1" applyBorder="1" applyAlignment="1" applyProtection="1">
      <alignment horizontal="left"/>
    </xf>
    <xf numFmtId="0" fontId="60" fillId="3" borderId="0" xfId="0" applyFont="1" applyFill="1" applyBorder="1" applyProtection="1"/>
    <xf numFmtId="0" fontId="32" fillId="3" borderId="0" xfId="0" applyFont="1" applyFill="1" applyBorder="1" applyProtection="1"/>
    <xf numFmtId="0" fontId="41" fillId="3" borderId="0" xfId="0" applyFont="1" applyFill="1" applyBorder="1" applyProtection="1"/>
    <xf numFmtId="0" fontId="32" fillId="3" borderId="6" xfId="0" applyFont="1" applyFill="1" applyBorder="1" applyAlignment="1" applyProtection="1">
      <alignment horizontal="center" wrapText="1"/>
    </xf>
    <xf numFmtId="0" fontId="23" fillId="0" borderId="0" xfId="0" applyFont="1" applyFill="1" applyBorder="1" applyProtection="1"/>
    <xf numFmtId="0" fontId="23" fillId="0" borderId="3"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32" fillId="3" borderId="6" xfId="0" applyFont="1" applyFill="1" applyBorder="1" applyProtection="1"/>
    <xf numFmtId="0" fontId="65" fillId="3" borderId="23" xfId="0" applyFont="1" applyFill="1" applyBorder="1" applyAlignment="1" applyProtection="1">
      <alignment horizontal="center"/>
    </xf>
    <xf numFmtId="10" fontId="32" fillId="3" borderId="6" xfId="22" applyNumberFormat="1" applyFont="1" applyFill="1" applyBorder="1" applyAlignment="1" applyProtection="1">
      <alignment horizontal="center"/>
    </xf>
    <xf numFmtId="14" fontId="0" fillId="0" borderId="0" xfId="0" applyNumberFormat="1"/>
    <xf numFmtId="4" fontId="0" fillId="3" borderId="0" xfId="0" applyNumberFormat="1" applyFill="1" applyBorder="1" applyProtection="1"/>
    <xf numFmtId="43" fontId="9" fillId="3" borderId="0" xfId="1" applyFont="1" applyFill="1" applyBorder="1" applyProtection="1"/>
    <xf numFmtId="10" fontId="9" fillId="3" borderId="0" xfId="22" applyNumberFormat="1" applyFont="1" applyFill="1" applyBorder="1" applyProtection="1"/>
    <xf numFmtId="43" fontId="9" fillId="3" borderId="9" xfId="1" applyFont="1" applyFill="1" applyBorder="1" applyProtection="1"/>
    <xf numFmtId="10" fontId="9" fillId="3" borderId="1" xfId="22" applyNumberFormat="1" applyFont="1" applyFill="1" applyBorder="1" applyProtection="1"/>
    <xf numFmtId="43" fontId="9" fillId="3" borderId="4" xfId="1" applyFont="1" applyFill="1" applyBorder="1" applyProtection="1"/>
    <xf numFmtId="10" fontId="9" fillId="3" borderId="63" xfId="22" applyNumberFormat="1" applyFont="1" applyFill="1" applyBorder="1" applyProtection="1"/>
    <xf numFmtId="43" fontId="9" fillId="3" borderId="49" xfId="1" applyFont="1" applyFill="1" applyBorder="1" applyProtection="1"/>
    <xf numFmtId="10" fontId="9" fillId="3" borderId="49" xfId="22" applyNumberFormat="1" applyFont="1" applyFill="1" applyBorder="1" applyProtection="1"/>
    <xf numFmtId="43" fontId="9" fillId="3" borderId="64" xfId="1" applyFont="1" applyFill="1" applyBorder="1" applyProtection="1"/>
    <xf numFmtId="10" fontId="9" fillId="3" borderId="65" xfId="22" applyNumberFormat="1" applyFont="1" applyFill="1" applyBorder="1" applyProtection="1"/>
    <xf numFmtId="10" fontId="9" fillId="3" borderId="4" xfId="22" applyNumberFormat="1" applyFont="1" applyFill="1" applyBorder="1" applyProtection="1"/>
    <xf numFmtId="0" fontId="0" fillId="3" borderId="18" xfId="0" applyFill="1" applyBorder="1" applyProtection="1"/>
    <xf numFmtId="43" fontId="5" fillId="3" borderId="0" xfId="1" applyFont="1" applyFill="1" applyBorder="1" applyAlignment="1" applyProtection="1">
      <alignment horizontal="center"/>
    </xf>
    <xf numFmtId="0" fontId="8" fillId="3" borderId="0" xfId="0" applyFont="1" applyFill="1" applyBorder="1" applyAlignment="1" applyProtection="1">
      <alignment horizontal="center"/>
    </xf>
    <xf numFmtId="3" fontId="0" fillId="3" borderId="0" xfId="0" applyNumberFormat="1" applyFill="1" applyBorder="1" applyProtection="1"/>
    <xf numFmtId="3" fontId="0" fillId="3" borderId="6" xfId="0" applyNumberFormat="1" applyFill="1" applyBorder="1" applyProtection="1"/>
    <xf numFmtId="3" fontId="0" fillId="3" borderId="13" xfId="0" applyNumberFormat="1" applyFill="1" applyBorder="1" applyProtection="1"/>
    <xf numFmtId="4" fontId="0" fillId="3" borderId="6" xfId="0" applyNumberFormat="1" applyFill="1" applyBorder="1" applyProtection="1"/>
    <xf numFmtId="4" fontId="0" fillId="3" borderId="13" xfId="0" applyNumberFormat="1" applyFill="1" applyBorder="1" applyProtection="1"/>
    <xf numFmtId="4" fontId="0" fillId="3" borderId="0" xfId="0" applyNumberFormat="1" applyFill="1" applyBorder="1" applyAlignment="1" applyProtection="1"/>
    <xf numFmtId="0" fontId="23" fillId="3" borderId="0" xfId="0" applyFont="1" applyFill="1" applyBorder="1" applyProtection="1">
      <protection locked="0"/>
    </xf>
    <xf numFmtId="0" fontId="0" fillId="3" borderId="3" xfId="0" applyFill="1" applyBorder="1" applyAlignment="1" applyProtection="1">
      <alignment horizontal="left"/>
    </xf>
    <xf numFmtId="0" fontId="15" fillId="3" borderId="0" xfId="8" applyFont="1" applyFill="1" applyBorder="1" applyAlignment="1" applyProtection="1">
      <alignment horizontal="left"/>
    </xf>
    <xf numFmtId="0" fontId="48" fillId="3" borderId="0" xfId="8" applyFont="1" applyFill="1" applyBorder="1" applyAlignment="1" applyProtection="1">
      <alignment horizontal="center"/>
    </xf>
    <xf numFmtId="0" fontId="21" fillId="3" borderId="0" xfId="9" applyFont="1" applyFill="1" applyBorder="1" applyAlignment="1" applyProtection="1">
      <alignment horizontal="center"/>
    </xf>
    <xf numFmtId="0" fontId="18" fillId="3" borderId="0" xfId="8" applyFont="1" applyFill="1" applyBorder="1" applyAlignment="1" applyProtection="1">
      <alignment horizontal="center"/>
    </xf>
    <xf numFmtId="0" fontId="8" fillId="3" borderId="0" xfId="10" applyFill="1" applyBorder="1" applyAlignment="1" applyProtection="1">
      <alignment horizontal="right" vertical="center" wrapText="1"/>
    </xf>
    <xf numFmtId="0" fontId="8" fillId="3" borderId="0" xfId="10" applyFill="1" applyBorder="1" applyAlignment="1" applyProtection="1">
      <alignment horizontal="center" vertical="center" wrapText="1"/>
    </xf>
    <xf numFmtId="0" fontId="15" fillId="3" borderId="0" xfId="8" applyFill="1" applyBorder="1" applyAlignment="1" applyProtection="1">
      <alignment horizontal="center"/>
    </xf>
    <xf numFmtId="0" fontId="0" fillId="13" borderId="2" xfId="0" applyFill="1" applyBorder="1" applyProtection="1"/>
    <xf numFmtId="0" fontId="0" fillId="13" borderId="8" xfId="0" applyFill="1" applyBorder="1" applyProtection="1"/>
    <xf numFmtId="0" fontId="15" fillId="3" borderId="0" xfId="8" applyFill="1" applyBorder="1" applyAlignment="1" applyProtection="1"/>
    <xf numFmtId="0" fontId="51" fillId="3" borderId="0" xfId="0" applyFont="1" applyFill="1" applyBorder="1" applyProtection="1"/>
    <xf numFmtId="0" fontId="70" fillId="3" borderId="2" xfId="0" applyFont="1" applyFill="1" applyBorder="1" applyAlignment="1" applyProtection="1"/>
    <xf numFmtId="15" fontId="71" fillId="3" borderId="2" xfId="0" applyNumberFormat="1" applyFont="1" applyFill="1" applyBorder="1" applyAlignment="1" applyProtection="1"/>
    <xf numFmtId="18" fontId="71" fillId="3" borderId="2" xfId="0" applyNumberFormat="1" applyFont="1" applyFill="1" applyBorder="1" applyAlignment="1" applyProtection="1"/>
    <xf numFmtId="0" fontId="71" fillId="3" borderId="2" xfId="0" applyFont="1" applyFill="1" applyBorder="1" applyAlignment="1" applyProtection="1"/>
    <xf numFmtId="4" fontId="11" fillId="3" borderId="6" xfId="0" applyNumberFormat="1" applyFont="1" applyFill="1" applyBorder="1" applyProtection="1"/>
    <xf numFmtId="0" fontId="0" fillId="3" borderId="0" xfId="0" applyFill="1" applyBorder="1"/>
    <xf numFmtId="0" fontId="23" fillId="7" borderId="0" xfId="0" applyFont="1" applyFill="1" applyBorder="1" applyAlignment="1" applyProtection="1"/>
    <xf numFmtId="0" fontId="22" fillId="3" borderId="0" xfId="0" applyFont="1" applyFill="1" applyBorder="1" applyAlignment="1" applyProtection="1">
      <alignment horizontal="left"/>
    </xf>
    <xf numFmtId="0" fontId="23" fillId="3" borderId="0" xfId="0" applyFont="1" applyFill="1" applyBorder="1" applyAlignment="1" applyProtection="1">
      <alignment horizontal="left"/>
    </xf>
    <xf numFmtId="0" fontId="73" fillId="3" borderId="0" xfId="0" applyFont="1" applyFill="1" applyBorder="1" applyAlignment="1" applyProtection="1">
      <alignment horizontal="left"/>
    </xf>
    <xf numFmtId="0" fontId="73" fillId="3" borderId="0" xfId="0" applyFont="1" applyFill="1" applyBorder="1" applyAlignment="1" applyProtection="1">
      <alignment horizontal="center"/>
    </xf>
    <xf numFmtId="0" fontId="0" fillId="0" borderId="0" xfId="0" applyFont="1"/>
    <xf numFmtId="0" fontId="23" fillId="3" borderId="0" xfId="0" applyFont="1" applyFill="1" applyBorder="1"/>
    <xf numFmtId="10" fontId="61" fillId="3" borderId="6" xfId="22" applyNumberFormat="1" applyFont="1" applyFill="1" applyBorder="1" applyAlignment="1" applyProtection="1">
      <alignment horizontal="center"/>
    </xf>
    <xf numFmtId="0" fontId="40" fillId="3" borderId="0" xfId="0" applyFont="1" applyFill="1" applyBorder="1" applyProtection="1"/>
    <xf numFmtId="10" fontId="61" fillId="3" borderId="6" xfId="22" applyNumberFormat="1" applyFont="1" applyFill="1" applyBorder="1" applyAlignment="1" applyProtection="1">
      <alignment horizontal="center" wrapText="1"/>
    </xf>
    <xf numFmtId="10" fontId="61" fillId="3" borderId="6" xfId="22" applyNumberFormat="1" applyFont="1" applyFill="1" applyBorder="1" applyProtection="1"/>
    <xf numFmtId="0" fontId="2" fillId="0" borderId="0" xfId="0" applyFont="1" applyBorder="1"/>
    <xf numFmtId="2" fontId="56" fillId="3" borderId="23" xfId="1" applyNumberFormat="1" applyFont="1" applyFill="1" applyBorder="1" applyAlignment="1" applyProtection="1">
      <alignment horizontal="center"/>
    </xf>
    <xf numFmtId="0" fontId="5" fillId="3" borderId="66" xfId="0" applyFont="1" applyFill="1" applyBorder="1" applyAlignment="1" applyProtection="1">
      <alignment horizontal="center" wrapText="1"/>
    </xf>
    <xf numFmtId="0" fontId="39" fillId="3" borderId="0" xfId="0" applyFont="1" applyFill="1" applyBorder="1" applyAlignment="1" applyProtection="1">
      <alignment horizontal="left"/>
    </xf>
    <xf numFmtId="0" fontId="23" fillId="3" borderId="3" xfId="0" applyFont="1" applyFill="1" applyBorder="1" applyAlignment="1" applyProtection="1">
      <alignment horizontal="left"/>
    </xf>
    <xf numFmtId="4" fontId="4" fillId="0" borderId="26" xfId="0" applyNumberFormat="1" applyFont="1" applyFill="1" applyBorder="1" applyProtection="1">
      <protection locked="0"/>
    </xf>
    <xf numFmtId="0" fontId="4" fillId="0" borderId="6" xfId="0" applyFont="1" applyBorder="1" applyAlignment="1" applyProtection="1">
      <protection locked="0"/>
    </xf>
    <xf numFmtId="4" fontId="11" fillId="0" borderId="6" xfId="0" applyNumberFormat="1" applyFont="1" applyFill="1" applyBorder="1" applyAlignment="1" applyProtection="1">
      <alignment horizontal="right"/>
      <protection locked="0"/>
    </xf>
    <xf numFmtId="4" fontId="11" fillId="0" borderId="23" xfId="0" applyNumberFormat="1" applyFont="1" applyFill="1" applyBorder="1" applyAlignment="1" applyProtection="1">
      <alignment horizontal="right"/>
      <protection locked="0"/>
    </xf>
    <xf numFmtId="4" fontId="11" fillId="0" borderId="12" xfId="0" applyNumberFormat="1" applyFont="1" applyFill="1" applyBorder="1" applyAlignment="1" applyProtection="1">
      <alignment horizontal="right"/>
      <protection locked="0"/>
    </xf>
    <xf numFmtId="0" fontId="4" fillId="0" borderId="13" xfId="0" applyFont="1" applyBorder="1" applyAlignment="1" applyProtection="1">
      <protection locked="0"/>
    </xf>
    <xf numFmtId="4" fontId="11" fillId="0" borderId="13" xfId="0" applyNumberFormat="1" applyFont="1" applyFill="1" applyBorder="1" applyAlignment="1" applyProtection="1">
      <alignment horizontal="right"/>
      <protection locked="0"/>
    </xf>
    <xf numFmtId="4" fontId="11" fillId="0" borderId="44" xfId="0" applyNumberFormat="1" applyFont="1" applyFill="1" applyBorder="1" applyAlignment="1" applyProtection="1">
      <alignment horizontal="right"/>
      <protection locked="0"/>
    </xf>
    <xf numFmtId="4" fontId="11" fillId="0" borderId="14" xfId="0" applyNumberFormat="1" applyFont="1" applyFill="1" applyBorder="1" applyAlignment="1" applyProtection="1">
      <alignment horizontal="right"/>
      <protection locked="0"/>
    </xf>
    <xf numFmtId="43" fontId="2" fillId="3" borderId="26" xfId="1" applyFont="1" applyFill="1" applyBorder="1" applyProtection="1"/>
    <xf numFmtId="10" fontId="2" fillId="3" borderId="12" xfId="22" applyNumberFormat="1" applyFont="1" applyFill="1" applyBorder="1" applyProtection="1"/>
    <xf numFmtId="10" fontId="2" fillId="3" borderId="23" xfId="22" applyNumberFormat="1" applyFont="1" applyFill="1" applyBorder="1" applyProtection="1"/>
    <xf numFmtId="43" fontId="2" fillId="3" borderId="6" xfId="1" applyFont="1" applyFill="1" applyBorder="1" applyProtection="1"/>
    <xf numFmtId="10" fontId="2" fillId="3" borderId="6" xfId="22" applyNumberFormat="1" applyFont="1" applyFill="1" applyBorder="1" applyProtection="1"/>
    <xf numFmtId="43" fontId="2" fillId="3" borderId="11" xfId="1" applyFont="1" applyFill="1" applyBorder="1" applyProtection="1"/>
    <xf numFmtId="43" fontId="2" fillId="3" borderId="25" xfId="1" applyFont="1" applyFill="1" applyBorder="1" applyProtection="1"/>
    <xf numFmtId="10" fontId="2" fillId="3" borderId="14" xfId="22" applyNumberFormat="1" applyFont="1" applyFill="1" applyBorder="1" applyProtection="1"/>
    <xf numFmtId="10" fontId="2" fillId="3" borderId="44" xfId="22" applyNumberFormat="1" applyFont="1" applyFill="1" applyBorder="1" applyProtection="1"/>
    <xf numFmtId="43" fontId="2" fillId="3" borderId="13" xfId="1" applyFont="1" applyFill="1" applyBorder="1" applyProtection="1"/>
    <xf numFmtId="10" fontId="2" fillId="3" borderId="13" xfId="22" applyNumberFormat="1" applyFont="1" applyFill="1" applyBorder="1" applyProtection="1"/>
    <xf numFmtId="43" fontId="2" fillId="3" borderId="45" xfId="1" applyFont="1" applyFill="1" applyBorder="1" applyProtection="1"/>
    <xf numFmtId="4" fontId="4" fillId="0" borderId="6" xfId="0" applyNumberFormat="1" applyFont="1" applyFill="1" applyBorder="1" applyProtection="1">
      <protection locked="0"/>
    </xf>
    <xf numFmtId="4" fontId="4" fillId="0" borderId="12" xfId="0" applyNumberFormat="1" applyFont="1" applyFill="1" applyBorder="1" applyProtection="1">
      <protection locked="0"/>
    </xf>
    <xf numFmtId="4" fontId="4" fillId="0" borderId="13" xfId="0" applyNumberFormat="1" applyFont="1" applyFill="1" applyBorder="1" applyProtection="1">
      <protection locked="0"/>
    </xf>
    <xf numFmtId="4" fontId="4" fillId="0" borderId="14" xfId="0" applyNumberFormat="1" applyFont="1" applyFill="1" applyBorder="1" applyProtection="1">
      <protection locked="0"/>
    </xf>
    <xf numFmtId="10" fontId="2" fillId="3" borderId="40" xfId="22" applyNumberFormat="1" applyFont="1" applyFill="1" applyBorder="1" applyProtection="1"/>
    <xf numFmtId="10" fontId="2" fillId="3" borderId="46" xfId="22" applyNumberFormat="1" applyFont="1" applyFill="1" applyBorder="1" applyProtection="1"/>
    <xf numFmtId="4" fontId="4" fillId="0" borderId="4" xfId="0" applyNumberFormat="1" applyFont="1" applyFill="1" applyBorder="1" applyProtection="1">
      <protection locked="0"/>
    </xf>
    <xf numFmtId="4" fontId="4" fillId="0" borderId="63" xfId="0" applyNumberFormat="1" applyFont="1" applyFill="1" applyBorder="1" applyProtection="1">
      <protection locked="0"/>
    </xf>
    <xf numFmtId="4" fontId="4" fillId="0" borderId="24" xfId="0" applyNumberFormat="1" applyFont="1" applyFill="1" applyBorder="1" applyProtection="1">
      <protection locked="0"/>
    </xf>
    <xf numFmtId="4" fontId="4" fillId="0" borderId="55" xfId="0" applyNumberFormat="1" applyFont="1" applyFill="1" applyBorder="1" applyProtection="1">
      <protection locked="0"/>
    </xf>
    <xf numFmtId="10" fontId="2" fillId="3" borderId="62" xfId="22" applyNumberFormat="1" applyFont="1" applyFill="1" applyBorder="1" applyProtection="1"/>
    <xf numFmtId="43" fontId="2" fillId="3" borderId="37" xfId="1" applyFont="1" applyFill="1" applyBorder="1" applyProtection="1"/>
    <xf numFmtId="0" fontId="0" fillId="3" borderId="28" xfId="0" applyFill="1" applyBorder="1" applyProtection="1"/>
    <xf numFmtId="0" fontId="0" fillId="3" borderId="36" xfId="0" applyFill="1" applyBorder="1" applyProtection="1"/>
    <xf numFmtId="0" fontId="5" fillId="3" borderId="4" xfId="0" applyFont="1" applyFill="1" applyBorder="1" applyAlignment="1" applyProtection="1">
      <alignment horizontal="center"/>
    </xf>
    <xf numFmtId="0" fontId="5" fillId="3" borderId="4" xfId="0" applyFont="1" applyFill="1" applyBorder="1" applyAlignment="1" applyProtection="1">
      <alignment horizontal="center" vertical="center" wrapText="1"/>
    </xf>
    <xf numFmtId="0" fontId="5" fillId="3" borderId="37" xfId="0" applyFont="1" applyFill="1" applyBorder="1" applyProtection="1"/>
    <xf numFmtId="0" fontId="5" fillId="3" borderId="7" xfId="0" applyFont="1" applyFill="1" applyBorder="1" applyAlignment="1" applyProtection="1">
      <alignment horizontal="center" vertical="center" wrapText="1"/>
    </xf>
    <xf numFmtId="4" fontId="61" fillId="3" borderId="26" xfId="0" applyNumberFormat="1" applyFont="1" applyFill="1" applyBorder="1" applyProtection="1"/>
    <xf numFmtId="0" fontId="61" fillId="3" borderId="26" xfId="0" applyFont="1" applyFill="1" applyBorder="1" applyProtection="1"/>
    <xf numFmtId="0" fontId="65" fillId="3" borderId="0" xfId="0" applyFont="1" applyFill="1" applyBorder="1" applyAlignment="1" applyProtection="1">
      <alignment horizontal="center"/>
    </xf>
    <xf numFmtId="10" fontId="61" fillId="3" borderId="0" xfId="22" applyNumberFormat="1" applyFont="1" applyFill="1" applyBorder="1" applyAlignment="1" applyProtection="1">
      <alignment horizontal="center"/>
    </xf>
    <xf numFmtId="10" fontId="32" fillId="3" borderId="0" xfId="22" applyNumberFormat="1" applyFont="1" applyFill="1" applyBorder="1" applyAlignment="1" applyProtection="1">
      <alignment horizontal="center"/>
    </xf>
    <xf numFmtId="10" fontId="68" fillId="14" borderId="0" xfId="22" applyNumberFormat="1" applyFont="1" applyFill="1" applyBorder="1" applyAlignment="1" applyProtection="1">
      <alignment horizontal="center"/>
      <protection locked="0"/>
    </xf>
    <xf numFmtId="0" fontId="61" fillId="7" borderId="6" xfId="0" applyFont="1" applyFill="1" applyBorder="1" applyAlignment="1" applyProtection="1">
      <protection locked="0"/>
    </xf>
    <xf numFmtId="0" fontId="82" fillId="3" borderId="0" xfId="0" applyFont="1" applyFill="1" applyBorder="1" applyAlignment="1" applyProtection="1">
      <alignment horizontal="right"/>
    </xf>
    <xf numFmtId="0" fontId="0" fillId="0" borderId="0" xfId="0" applyAlignment="1">
      <alignment wrapText="1"/>
    </xf>
    <xf numFmtId="0" fontId="83" fillId="14" borderId="0" xfId="0" applyFont="1" applyFill="1" applyBorder="1" applyProtection="1"/>
    <xf numFmtId="0" fontId="0" fillId="3" borderId="3" xfId="0" applyFill="1" applyBorder="1" applyProtection="1">
      <protection locked="0"/>
    </xf>
    <xf numFmtId="0" fontId="84" fillId="3" borderId="3" xfId="0" applyFont="1" applyFill="1" applyBorder="1" applyProtection="1"/>
    <xf numFmtId="0" fontId="85" fillId="3" borderId="0" xfId="0" applyFont="1" applyFill="1" applyBorder="1" applyAlignment="1" applyProtection="1">
      <alignment horizontal="center"/>
    </xf>
    <xf numFmtId="0" fontId="84" fillId="3" borderId="5" xfId="0" applyFont="1" applyFill="1" applyBorder="1" applyProtection="1"/>
    <xf numFmtId="0" fontId="84" fillId="0" borderId="0" xfId="0" applyFont="1"/>
    <xf numFmtId="0" fontId="0" fillId="3" borderId="3" xfId="0" applyFont="1" applyFill="1" applyBorder="1" applyProtection="1"/>
    <xf numFmtId="0" fontId="0" fillId="3" borderId="5" xfId="0" applyFont="1" applyFill="1" applyBorder="1" applyProtection="1"/>
    <xf numFmtId="0" fontId="0" fillId="0" borderId="0" xfId="0" applyFont="1" applyAlignment="1">
      <alignment horizontal="right"/>
    </xf>
    <xf numFmtId="0" fontId="84" fillId="3" borderId="0" xfId="0" applyFont="1" applyFill="1" applyBorder="1" applyProtection="1"/>
    <xf numFmtId="0" fontId="86" fillId="3" borderId="0" xfId="0" applyFont="1" applyFill="1" applyBorder="1" applyProtection="1"/>
    <xf numFmtId="0" fontId="87" fillId="3" borderId="0" xfId="0" applyFont="1" applyFill="1" applyBorder="1" applyProtection="1"/>
    <xf numFmtId="0" fontId="86" fillId="3" borderId="3" xfId="0" applyFont="1" applyFill="1" applyBorder="1" applyProtection="1"/>
    <xf numFmtId="0" fontId="87" fillId="3" borderId="0" xfId="0" applyFont="1" applyFill="1" applyBorder="1" applyAlignment="1" applyProtection="1">
      <alignment horizontal="left"/>
    </xf>
    <xf numFmtId="3" fontId="86" fillId="3" borderId="0" xfId="0" applyNumberFormat="1" applyFont="1" applyFill="1" applyBorder="1" applyProtection="1"/>
    <xf numFmtId="0" fontId="86" fillId="3" borderId="5" xfId="0" applyFont="1" applyFill="1" applyBorder="1" applyProtection="1"/>
    <xf numFmtId="0" fontId="88" fillId="3" borderId="0" xfId="0" applyFont="1" applyFill="1" applyBorder="1" applyProtection="1"/>
    <xf numFmtId="3" fontId="86" fillId="3" borderId="2" xfId="0" applyNumberFormat="1" applyFont="1" applyFill="1" applyBorder="1" applyProtection="1"/>
    <xf numFmtId="0" fontId="89" fillId="3" borderId="0" xfId="0" applyFont="1" applyFill="1" applyBorder="1" applyProtection="1"/>
    <xf numFmtId="0" fontId="89" fillId="3" borderId="0" xfId="0" applyFont="1" applyFill="1" applyBorder="1" applyAlignment="1" applyProtection="1">
      <alignment horizontal="right"/>
    </xf>
    <xf numFmtId="3" fontId="89" fillId="3" borderId="67" xfId="0" applyNumberFormat="1" applyFont="1" applyFill="1" applyBorder="1" applyProtection="1"/>
    <xf numFmtId="3" fontId="90" fillId="3" borderId="67" xfId="0" applyNumberFormat="1" applyFont="1" applyFill="1" applyBorder="1" applyProtection="1"/>
    <xf numFmtId="0" fontId="91" fillId="3" borderId="0" xfId="0" applyFont="1" applyFill="1" applyBorder="1" applyProtection="1"/>
    <xf numFmtId="0" fontId="92" fillId="3" borderId="0" xfId="0" applyFont="1" applyFill="1" applyBorder="1" applyProtection="1"/>
    <xf numFmtId="3" fontId="0" fillId="0" borderId="23" xfId="0" applyNumberFormat="1" applyFill="1" applyBorder="1" applyProtection="1">
      <protection locked="0"/>
    </xf>
    <xf numFmtId="3" fontId="0" fillId="3" borderId="12" xfId="0" applyNumberFormat="1" applyFill="1" applyBorder="1" applyProtection="1">
      <protection locked="0"/>
    </xf>
    <xf numFmtId="0" fontId="32" fillId="0" borderId="26" xfId="0" applyFont="1" applyBorder="1" applyAlignment="1" applyProtection="1">
      <alignment wrapText="1"/>
      <protection locked="0"/>
    </xf>
    <xf numFmtId="4" fontId="61" fillId="3" borderId="37" xfId="0" applyNumberFormat="1" applyFont="1" applyFill="1" applyBorder="1" applyAlignment="1" applyProtection="1">
      <alignment wrapText="1"/>
      <protection locked="0"/>
    </xf>
    <xf numFmtId="0" fontId="32" fillId="0" borderId="41" xfId="0" applyFont="1" applyBorder="1" applyAlignment="1" applyProtection="1">
      <alignment wrapText="1"/>
      <protection locked="0"/>
    </xf>
    <xf numFmtId="3" fontId="0" fillId="0" borderId="0" xfId="0" applyNumberFormat="1"/>
    <xf numFmtId="0" fontId="0" fillId="0" borderId="0" xfId="0" quotePrefix="1" applyAlignment="1">
      <alignment horizontal="center"/>
    </xf>
    <xf numFmtId="0" fontId="93" fillId="0" borderId="0" xfId="0" applyFont="1" applyAlignment="1">
      <alignment horizontal="left" vertical="center" indent="5"/>
    </xf>
    <xf numFmtId="0" fontId="0" fillId="15" borderId="0" xfId="0" applyFill="1"/>
    <xf numFmtId="10" fontId="0" fillId="15" borderId="0" xfId="0" applyNumberFormat="1" applyFill="1"/>
    <xf numFmtId="0" fontId="94" fillId="0" borderId="0" xfId="0" applyFont="1" applyAlignment="1">
      <alignment horizontal="left" vertical="center" indent="5"/>
    </xf>
    <xf numFmtId="0" fontId="0" fillId="16" borderId="0" xfId="0" applyFill="1"/>
    <xf numFmtId="0" fontId="77" fillId="0" borderId="0" xfId="0" applyFont="1" applyAlignment="1">
      <alignment horizontal="left" vertical="center" wrapText="1"/>
    </xf>
    <xf numFmtId="0" fontId="75" fillId="0" borderId="0" xfId="0" applyFont="1"/>
    <xf numFmtId="0" fontId="76" fillId="0" borderId="0" xfId="0" applyFont="1"/>
    <xf numFmtId="0" fontId="94" fillId="0" borderId="0" xfId="0" applyFont="1" applyAlignment="1">
      <alignment horizontal="left" vertical="center" indent="5"/>
    </xf>
    <xf numFmtId="0" fontId="0" fillId="17" borderId="0" xfId="0" applyFill="1"/>
    <xf numFmtId="3" fontId="0" fillId="15" borderId="0" xfId="0" applyNumberFormat="1" applyFill="1"/>
    <xf numFmtId="0" fontId="76" fillId="0" borderId="0" xfId="0" applyFont="1" applyFill="1"/>
    <xf numFmtId="0" fontId="32" fillId="0" borderId="41" xfId="0" applyFont="1" applyFill="1" applyBorder="1" applyAlignment="1" applyProtection="1">
      <alignment wrapText="1"/>
      <protection locked="0"/>
    </xf>
    <xf numFmtId="0" fontId="61" fillId="0" borderId="56" xfId="0" applyFont="1" applyBorder="1"/>
    <xf numFmtId="10" fontId="0" fillId="0" borderId="0" xfId="0" applyNumberFormat="1"/>
    <xf numFmtId="0" fontId="0" fillId="17" borderId="3" xfId="0" applyFill="1" applyBorder="1" applyProtection="1"/>
    <xf numFmtId="0" fontId="60" fillId="17" borderId="0" xfId="0" applyFont="1" applyFill="1" applyBorder="1" applyProtection="1"/>
    <xf numFmtId="0" fontId="0" fillId="17" borderId="0" xfId="0" applyFill="1" applyBorder="1" applyProtection="1"/>
    <xf numFmtId="0" fontId="0" fillId="17" borderId="5" xfId="0" applyFill="1" applyBorder="1" applyProtection="1"/>
    <xf numFmtId="0" fontId="2" fillId="17" borderId="0" xfId="0" applyFont="1" applyFill="1"/>
    <xf numFmtId="0" fontId="62" fillId="17" borderId="0" xfId="0" applyFont="1" applyFill="1"/>
    <xf numFmtId="0" fontId="0" fillId="17" borderId="23" xfId="0" applyFill="1" applyBorder="1" applyProtection="1"/>
    <xf numFmtId="0" fontId="0" fillId="17" borderId="62" xfId="0" applyFill="1" applyBorder="1" applyProtection="1"/>
    <xf numFmtId="0" fontId="32" fillId="17" borderId="6" xfId="0" applyFont="1" applyFill="1" applyBorder="1" applyAlignment="1" applyProtection="1">
      <alignment horizontal="center" wrapText="1"/>
    </xf>
    <xf numFmtId="0" fontId="32" fillId="17" borderId="23" xfId="0" applyFont="1" applyFill="1" applyBorder="1" applyAlignment="1" applyProtection="1">
      <alignment horizontal="center" wrapText="1"/>
    </xf>
    <xf numFmtId="0" fontId="32" fillId="17" borderId="6" xfId="0" applyFont="1" applyFill="1" applyBorder="1" applyProtection="1"/>
    <xf numFmtId="0" fontId="65" fillId="17" borderId="23" xfId="0" applyFont="1" applyFill="1" applyBorder="1" applyAlignment="1" applyProtection="1">
      <alignment horizontal="center"/>
    </xf>
    <xf numFmtId="5" fontId="61" fillId="17" borderId="6" xfId="0" applyNumberFormat="1" applyFont="1" applyFill="1" applyBorder="1" applyAlignment="1" applyProtection="1"/>
    <xf numFmtId="5" fontId="95" fillId="17" borderId="6" xfId="0" applyNumberFormat="1" applyFont="1" applyFill="1" applyBorder="1" applyAlignment="1" applyProtection="1"/>
    <xf numFmtId="173" fontId="61" fillId="17" borderId="6" xfId="0" applyNumberFormat="1" applyFont="1" applyFill="1" applyBorder="1" applyAlignment="1" applyProtection="1"/>
    <xf numFmtId="166" fontId="61" fillId="17" borderId="6" xfId="0" applyNumberFormat="1" applyFont="1" applyFill="1" applyBorder="1"/>
    <xf numFmtId="10" fontId="61" fillId="17" borderId="6" xfId="22" applyNumberFormat="1" applyFont="1" applyFill="1" applyBorder="1" applyAlignment="1" applyProtection="1"/>
    <xf numFmtId="171" fontId="61" fillId="17" borderId="6" xfId="1" applyNumberFormat="1" applyFont="1" applyFill="1" applyBorder="1" applyAlignment="1" applyProtection="1"/>
    <xf numFmtId="2" fontId="61" fillId="17" borderId="6" xfId="22" applyNumberFormat="1" applyFont="1" applyFill="1" applyBorder="1"/>
    <xf numFmtId="5" fontId="96" fillId="17" borderId="6" xfId="0" applyNumberFormat="1" applyFont="1" applyFill="1" applyBorder="1" applyAlignment="1" applyProtection="1"/>
    <xf numFmtId="173" fontId="32" fillId="17" borderId="6" xfId="0" applyNumberFormat="1" applyFont="1" applyFill="1" applyBorder="1" applyAlignment="1" applyProtection="1">
      <alignment horizontal="right"/>
    </xf>
    <xf numFmtId="173" fontId="32" fillId="17" borderId="6" xfId="0" quotePrefix="1" applyNumberFormat="1" applyFont="1" applyFill="1" applyBorder="1" applyAlignment="1" applyProtection="1"/>
    <xf numFmtId="173" fontId="32" fillId="17" borderId="8" xfId="0" quotePrefix="1" applyNumberFormat="1" applyFont="1" applyFill="1" applyBorder="1" applyAlignment="1" applyProtection="1"/>
    <xf numFmtId="173" fontId="32" fillId="17" borderId="6" xfId="0" quotePrefix="1" applyNumberFormat="1" applyFont="1" applyFill="1" applyBorder="1" applyAlignment="1" applyProtection="1">
      <alignment horizontal="right"/>
    </xf>
    <xf numFmtId="10" fontId="97" fillId="17" borderId="6" xfId="22" quotePrefix="1" applyNumberFormat="1" applyFont="1" applyFill="1" applyBorder="1" applyAlignment="1" applyProtection="1"/>
    <xf numFmtId="10" fontId="97" fillId="17" borderId="0" xfId="22" quotePrefix="1" applyNumberFormat="1" applyFont="1" applyFill="1" applyBorder="1" applyAlignment="1" applyProtection="1"/>
    <xf numFmtId="0" fontId="84" fillId="17" borderId="0" xfId="0" applyFont="1" applyFill="1" applyBorder="1" applyProtection="1"/>
    <xf numFmtId="0" fontId="23" fillId="17" borderId="0" xfId="0" applyFont="1" applyFill="1" applyBorder="1"/>
    <xf numFmtId="5" fontId="61" fillId="17" borderId="6" xfId="0" applyNumberFormat="1" applyFont="1" applyFill="1" applyBorder="1"/>
    <xf numFmtId="171" fontId="61" fillId="17" borderId="23" xfId="1" applyNumberFormat="1" applyFont="1" applyFill="1" applyBorder="1" applyAlignment="1" applyProtection="1"/>
    <xf numFmtId="0" fontId="0" fillId="17" borderId="7" xfId="0" applyFill="1" applyBorder="1" applyProtection="1"/>
    <xf numFmtId="0" fontId="0" fillId="17" borderId="2" xfId="0" applyFill="1" applyBorder="1" applyProtection="1"/>
    <xf numFmtId="173" fontId="96" fillId="17" borderId="6" xfId="0" applyNumberFormat="1" applyFont="1" applyFill="1" applyBorder="1" applyAlignment="1" applyProtection="1">
      <alignment horizontal="right"/>
    </xf>
    <xf numFmtId="10" fontId="96" fillId="17" borderId="6" xfId="22" quotePrefix="1" applyNumberFormat="1" applyFont="1" applyFill="1" applyBorder="1" applyAlignment="1" applyProtection="1"/>
    <xf numFmtId="0" fontId="32" fillId="17" borderId="2" xfId="0" applyFont="1" applyFill="1" applyBorder="1" applyAlignment="1" applyProtection="1">
      <alignment horizontal="right"/>
    </xf>
    <xf numFmtId="10" fontId="32" fillId="17" borderId="6" xfId="22" quotePrefix="1" applyNumberFormat="1" applyFont="1" applyFill="1" applyBorder="1" applyAlignment="1" applyProtection="1"/>
    <xf numFmtId="0" fontId="32" fillId="17" borderId="2" xfId="0" applyFont="1" applyFill="1" applyBorder="1" applyAlignment="1" applyProtection="1">
      <alignment horizontal="left"/>
    </xf>
    <xf numFmtId="0" fontId="0" fillId="17" borderId="10" xfId="0" applyFill="1" applyBorder="1" applyProtection="1"/>
    <xf numFmtId="0" fontId="0" fillId="18" borderId="0" xfId="0" applyFill="1"/>
    <xf numFmtId="0" fontId="0" fillId="15" borderId="68" xfId="0" applyFill="1" applyBorder="1" applyAlignment="1">
      <alignment horizontal="center"/>
    </xf>
    <xf numFmtId="0" fontId="76" fillId="18" borderId="0" xfId="0" applyFont="1" applyFill="1"/>
    <xf numFmtId="0" fontId="75" fillId="18" borderId="0" xfId="0" applyFont="1" applyFill="1"/>
    <xf numFmtId="3" fontId="0" fillId="18" borderId="0" xfId="0" applyNumberFormat="1" applyFill="1"/>
    <xf numFmtId="2" fontId="0" fillId="0" borderId="0" xfId="0" applyNumberFormat="1"/>
    <xf numFmtId="0" fontId="63" fillId="3" borderId="3" xfId="0" applyFont="1" applyFill="1" applyBorder="1" applyProtection="1"/>
    <xf numFmtId="3" fontId="81" fillId="3" borderId="6" xfId="1" applyNumberFormat="1" applyFont="1" applyFill="1" applyBorder="1" applyAlignment="1" applyProtection="1">
      <alignment vertical="center"/>
    </xf>
    <xf numFmtId="0" fontId="63" fillId="3" borderId="5" xfId="0" applyFont="1" applyFill="1" applyBorder="1" applyProtection="1"/>
    <xf numFmtId="4" fontId="63" fillId="0" borderId="0" xfId="0" applyNumberFormat="1" applyFont="1" applyProtection="1"/>
    <xf numFmtId="0" fontId="63" fillId="0" borderId="0" xfId="0" applyFont="1" applyProtection="1"/>
    <xf numFmtId="10" fontId="81" fillId="3" borderId="6" xfId="22" applyNumberFormat="1" applyFont="1" applyFill="1" applyBorder="1" applyAlignment="1" applyProtection="1">
      <alignment vertical="center"/>
    </xf>
    <xf numFmtId="2" fontId="81" fillId="3" borderId="6" xfId="22" applyNumberFormat="1" applyFont="1" applyFill="1" applyBorder="1" applyAlignment="1" applyProtection="1">
      <alignment vertical="center"/>
    </xf>
    <xf numFmtId="0" fontId="63" fillId="3" borderId="3" xfId="0" applyFont="1" applyFill="1" applyBorder="1"/>
    <xf numFmtId="0" fontId="63" fillId="3" borderId="0" xfId="0" applyFont="1" applyFill="1" applyBorder="1" applyProtection="1"/>
    <xf numFmtId="0" fontId="63" fillId="3" borderId="0" xfId="0" applyFont="1" applyFill="1" applyBorder="1" applyProtection="1">
      <protection locked="0"/>
    </xf>
    <xf numFmtId="0" fontId="32" fillId="3" borderId="26" xfId="0" applyFont="1" applyFill="1" applyBorder="1" applyProtection="1"/>
    <xf numFmtId="3" fontId="63" fillId="3" borderId="6" xfId="0" applyNumberFormat="1" applyFont="1" applyFill="1" applyBorder="1" applyProtection="1"/>
    <xf numFmtId="175" fontId="63" fillId="3" borderId="12" xfId="0" applyNumberFormat="1" applyFont="1" applyFill="1" applyBorder="1" applyProtection="1">
      <protection locked="0"/>
    </xf>
    <xf numFmtId="0" fontId="63" fillId="0" borderId="0" xfId="0" applyFont="1" applyFill="1"/>
    <xf numFmtId="43" fontId="0" fillId="0" borderId="0" xfId="0" applyNumberFormat="1" applyFill="1" applyBorder="1" applyAlignment="1">
      <alignment horizontal="center"/>
    </xf>
    <xf numFmtId="4" fontId="0" fillId="0" borderId="0" xfId="0" applyNumberFormat="1" applyFill="1" applyBorder="1" applyAlignment="1">
      <alignment horizontal="center"/>
    </xf>
    <xf numFmtId="4" fontId="0" fillId="0" borderId="0" xfId="0" applyNumberFormat="1"/>
    <xf numFmtId="0" fontId="0" fillId="0" borderId="0" xfId="0" applyFill="1" applyBorder="1" applyAlignment="1">
      <alignment horizontal="center"/>
    </xf>
    <xf numFmtId="43" fontId="0" fillId="15" borderId="0" xfId="0" applyNumberFormat="1" applyFill="1" applyBorder="1"/>
    <xf numFmtId="0" fontId="72" fillId="3" borderId="0" xfId="0" applyFont="1" applyFill="1" applyBorder="1" applyAlignment="1" applyProtection="1">
      <alignment horizontal="center"/>
    </xf>
    <xf numFmtId="0" fontId="0" fillId="0" borderId="6" xfId="0" applyFont="1" applyFill="1" applyBorder="1" applyProtection="1"/>
    <xf numFmtId="0" fontId="0" fillId="3" borderId="0" xfId="0" applyFont="1" applyFill="1" applyBorder="1" applyProtection="1"/>
    <xf numFmtId="10" fontId="32" fillId="0" borderId="6" xfId="22" applyNumberFormat="1" applyFont="1" applyFill="1" applyBorder="1" applyAlignment="1" applyProtection="1">
      <alignment horizontal="center"/>
      <protection locked="0"/>
    </xf>
    <xf numFmtId="174" fontId="61" fillId="17" borderId="6" xfId="0" applyNumberFormat="1" applyFont="1" applyFill="1" applyBorder="1" applyAlignment="1" applyProtection="1"/>
    <xf numFmtId="171" fontId="61" fillId="17" borderId="6" xfId="22" applyNumberFormat="1" applyFont="1" applyFill="1" applyBorder="1" applyAlignment="1" applyProtection="1"/>
    <xf numFmtId="0" fontId="65" fillId="17" borderId="0" xfId="0" applyFont="1" applyFill="1" applyBorder="1" applyAlignment="1" applyProtection="1">
      <alignment horizontal="center"/>
    </xf>
    <xf numFmtId="10" fontId="61" fillId="17" borderId="6" xfId="0" applyNumberFormat="1" applyFont="1" applyFill="1" applyBorder="1" applyAlignment="1" applyProtection="1"/>
    <xf numFmtId="0" fontId="32" fillId="17" borderId="0" xfId="0" applyFont="1" applyFill="1" applyBorder="1" applyProtection="1"/>
    <xf numFmtId="10" fontId="68" fillId="17" borderId="0" xfId="22" applyNumberFormat="1" applyFont="1" applyFill="1" applyBorder="1" applyAlignment="1" applyProtection="1">
      <alignment horizontal="center"/>
      <protection locked="0"/>
    </xf>
    <xf numFmtId="10" fontId="61" fillId="17" borderId="0" xfId="22" applyNumberFormat="1" applyFont="1" applyFill="1" applyBorder="1" applyAlignment="1" applyProtection="1">
      <alignment horizontal="center"/>
    </xf>
    <xf numFmtId="10" fontId="32" fillId="17" borderId="0" xfId="22" applyNumberFormat="1" applyFont="1" applyFill="1" applyBorder="1" applyAlignment="1" applyProtection="1">
      <alignment horizontal="center"/>
    </xf>
    <xf numFmtId="0" fontId="23" fillId="17" borderId="0" xfId="0" applyFont="1" applyFill="1" applyBorder="1" applyProtection="1"/>
    <xf numFmtId="0" fontId="8" fillId="3" borderId="8" xfId="0" applyFont="1" applyFill="1" applyBorder="1" applyAlignment="1" applyProtection="1">
      <alignment horizontal="center"/>
    </xf>
    <xf numFmtId="0" fontId="8" fillId="3" borderId="2" xfId="0" applyFont="1" applyFill="1" applyBorder="1" applyAlignment="1" applyProtection="1">
      <alignment horizontal="center"/>
    </xf>
    <xf numFmtId="0" fontId="63" fillId="18" borderId="0" xfId="0" applyFont="1" applyFill="1"/>
    <xf numFmtId="0" fontId="73" fillId="18" borderId="0" xfId="0" applyFont="1" applyFill="1" applyAlignment="1">
      <alignment horizontal="center" vertical="top"/>
    </xf>
    <xf numFmtId="0" fontId="73" fillId="0" borderId="0" xfId="0" applyFont="1" applyAlignment="1">
      <alignment horizontal="center" vertical="top"/>
    </xf>
    <xf numFmtId="0" fontId="8" fillId="0" borderId="0" xfId="0" applyFont="1"/>
    <xf numFmtId="0" fontId="63" fillId="18" borderId="0" xfId="0" applyFont="1" applyFill="1" applyAlignment="1">
      <alignment horizontal="center"/>
    </xf>
    <xf numFmtId="43" fontId="0" fillId="18" borderId="0" xfId="0" applyNumberFormat="1" applyFill="1" applyBorder="1" applyAlignment="1">
      <alignment horizontal="center"/>
    </xf>
    <xf numFmtId="0" fontId="0" fillId="18" borderId="0" xfId="0" applyFill="1" applyBorder="1"/>
    <xf numFmtId="0" fontId="0" fillId="18" borderId="0" xfId="0" applyFill="1" applyBorder="1" applyAlignment="1">
      <alignment horizontal="center"/>
    </xf>
    <xf numFmtId="173" fontId="61" fillId="18" borderId="6" xfId="0" applyNumberFormat="1" applyFont="1" applyFill="1" applyBorder="1" applyAlignment="1" applyProtection="1"/>
    <xf numFmtId="0" fontId="32" fillId="0" borderId="41" xfId="0" applyFont="1" applyFill="1" applyBorder="1" applyAlignment="1" applyProtection="1">
      <alignment vertical="top" wrapText="1"/>
      <protection locked="0"/>
    </xf>
    <xf numFmtId="3" fontId="81" fillId="3" borderId="6" xfId="22" applyNumberFormat="1" applyFont="1" applyFill="1" applyBorder="1" applyAlignment="1" applyProtection="1">
      <alignment vertical="center"/>
    </xf>
    <xf numFmtId="4" fontId="4" fillId="0" borderId="11" xfId="0" applyNumberFormat="1" applyFont="1" applyFill="1" applyBorder="1" applyProtection="1">
      <protection locked="0"/>
    </xf>
    <xf numFmtId="2" fontId="56" fillId="3" borderId="4" xfId="1" applyNumberFormat="1" applyFont="1" applyFill="1" applyBorder="1" applyAlignment="1" applyProtection="1">
      <alignment horizontal="center"/>
    </xf>
    <xf numFmtId="0" fontId="5" fillId="3" borderId="6" xfId="0" applyFont="1" applyFill="1" applyBorder="1" applyAlignment="1" applyProtection="1">
      <alignment wrapText="1"/>
    </xf>
    <xf numFmtId="4" fontId="4" fillId="0" borderId="69" xfId="0" applyNumberFormat="1" applyFont="1" applyFill="1" applyBorder="1" applyProtection="1">
      <protection locked="0"/>
    </xf>
    <xf numFmtId="3" fontId="0" fillId="0" borderId="4" xfId="0" applyNumberFormat="1" applyFill="1" applyBorder="1" applyProtection="1">
      <protection locked="0"/>
    </xf>
    <xf numFmtId="3" fontId="0" fillId="0" borderId="24" xfId="0" applyNumberFormat="1" applyFill="1" applyBorder="1" applyProtection="1">
      <protection locked="0"/>
    </xf>
    <xf numFmtId="3" fontId="0" fillId="0" borderId="7" xfId="0" applyNumberFormat="1" applyFill="1" applyBorder="1" applyProtection="1">
      <protection locked="0"/>
    </xf>
    <xf numFmtId="3" fontId="0" fillId="16" borderId="23" xfId="0" applyNumberFormat="1" applyFill="1" applyBorder="1" applyProtection="1">
      <protection locked="0"/>
    </xf>
    <xf numFmtId="3" fontId="0" fillId="16" borderId="62" xfId="0" applyNumberFormat="1" applyFill="1" applyBorder="1" applyProtection="1">
      <protection locked="0"/>
    </xf>
    <xf numFmtId="3" fontId="0" fillId="16" borderId="11" xfId="0" applyNumberFormat="1" applyFill="1" applyBorder="1" applyProtection="1">
      <protection locked="0"/>
    </xf>
    <xf numFmtId="3" fontId="0" fillId="16" borderId="1" xfId="0" applyNumberFormat="1" applyFill="1" applyBorder="1" applyProtection="1">
      <protection locked="0"/>
    </xf>
    <xf numFmtId="3" fontId="0" fillId="16" borderId="8" xfId="0" applyNumberFormat="1" applyFill="1" applyBorder="1" applyProtection="1">
      <protection locked="0"/>
    </xf>
    <xf numFmtId="3" fontId="0" fillId="16" borderId="9" xfId="0" applyNumberFormat="1" applyFill="1" applyBorder="1" applyProtection="1">
      <protection locked="0"/>
    </xf>
    <xf numFmtId="3" fontId="0" fillId="16" borderId="7" xfId="0" applyNumberFormat="1" applyFill="1" applyBorder="1" applyProtection="1">
      <protection locked="0"/>
    </xf>
    <xf numFmtId="3" fontId="0" fillId="16" borderId="2" xfId="0" applyNumberFormat="1" applyFill="1" applyBorder="1" applyProtection="1">
      <protection locked="0"/>
    </xf>
    <xf numFmtId="3" fontId="0" fillId="16" borderId="10" xfId="0" applyNumberFormat="1" applyFill="1" applyBorder="1" applyProtection="1">
      <protection locked="0"/>
    </xf>
    <xf numFmtId="3" fontId="0" fillId="0" borderId="70" xfId="0" applyNumberFormat="1" applyFill="1" applyBorder="1" applyProtection="1">
      <protection locked="0"/>
    </xf>
    <xf numFmtId="0" fontId="0" fillId="3" borderId="71" xfId="0" applyFill="1" applyBorder="1" applyProtection="1"/>
    <xf numFmtId="4" fontId="32" fillId="16" borderId="72" xfId="0" applyNumberFormat="1" applyFont="1" applyFill="1" applyBorder="1" applyAlignment="1" applyProtection="1">
      <alignment wrapText="1"/>
      <protection locked="0"/>
    </xf>
    <xf numFmtId="4" fontId="32" fillId="16" borderId="23" xfId="0" applyNumberFormat="1" applyFont="1" applyFill="1" applyBorder="1" applyAlignment="1" applyProtection="1">
      <alignment wrapText="1"/>
      <protection locked="0"/>
    </xf>
    <xf numFmtId="0" fontId="23" fillId="3" borderId="0" xfId="0" applyFont="1" applyFill="1" applyBorder="1" applyAlignment="1" applyProtection="1">
      <alignment vertical="center"/>
    </xf>
    <xf numFmtId="0" fontId="23" fillId="3" borderId="0" xfId="0" applyFont="1" applyFill="1" applyBorder="1" applyAlignment="1" applyProtection="1">
      <alignment horizontal="left" vertical="center"/>
    </xf>
    <xf numFmtId="0" fontId="23" fillId="7" borderId="0" xfId="11" applyFont="1" applyFill="1" applyBorder="1" applyAlignment="1" applyProtection="1"/>
    <xf numFmtId="0" fontId="61" fillId="16" borderId="26" xfId="0" applyFont="1" applyFill="1" applyBorder="1" applyProtection="1">
      <protection locked="0"/>
    </xf>
    <xf numFmtId="10" fontId="23" fillId="0" borderId="6" xfId="1" applyNumberFormat="1" applyFont="1" applyFill="1" applyBorder="1" applyProtection="1">
      <protection locked="0"/>
    </xf>
    <xf numFmtId="168" fontId="23" fillId="0" borderId="6" xfId="1" applyNumberFormat="1" applyFont="1" applyFill="1" applyBorder="1" applyProtection="1">
      <protection locked="0"/>
    </xf>
    <xf numFmtId="10" fontId="61" fillId="0" borderId="6" xfId="22" applyNumberFormat="1" applyFont="1" applyFill="1" applyBorder="1" applyAlignment="1" applyProtection="1">
      <alignment horizontal="center"/>
      <protection locked="0"/>
    </xf>
    <xf numFmtId="10" fontId="32" fillId="3" borderId="6" xfId="22" quotePrefix="1" applyNumberFormat="1" applyFont="1" applyFill="1" applyBorder="1" applyAlignment="1" applyProtection="1">
      <alignment horizontal="center"/>
    </xf>
    <xf numFmtId="2" fontId="32" fillId="0" borderId="6" xfId="22" applyNumberFormat="1" applyFont="1" applyFill="1" applyBorder="1" applyAlignment="1" applyProtection="1">
      <alignment horizontal="center"/>
      <protection locked="0"/>
    </xf>
    <xf numFmtId="2" fontId="0" fillId="15" borderId="68" xfId="0" applyNumberFormat="1" applyFill="1" applyBorder="1"/>
    <xf numFmtId="0" fontId="63" fillId="15" borderId="0" xfId="0" applyFont="1" applyFill="1"/>
    <xf numFmtId="0" fontId="5" fillId="0" borderId="0" xfId="0" applyFont="1" applyAlignment="1">
      <alignment horizontal="right"/>
    </xf>
    <xf numFmtId="0" fontId="63" fillId="0" borderId="0" xfId="0" applyFont="1" applyAlignment="1">
      <alignment horizontal="right"/>
    </xf>
    <xf numFmtId="0" fontId="63" fillId="0" borderId="0" xfId="0" applyFont="1" applyFill="1" applyAlignment="1">
      <alignment horizontal="right"/>
    </xf>
    <xf numFmtId="0" fontId="5" fillId="0" borderId="0" xfId="0" applyFont="1" applyAlignment="1">
      <alignment horizontal="right" wrapText="1"/>
    </xf>
    <xf numFmtId="3" fontId="0" fillId="15" borderId="0" xfId="0" applyNumberFormat="1" applyFill="1" applyBorder="1" applyAlignment="1">
      <alignment horizontal="center"/>
    </xf>
    <xf numFmtId="3" fontId="0" fillId="15" borderId="0" xfId="0" applyNumberFormat="1" applyFill="1" applyBorder="1"/>
    <xf numFmtId="0" fontId="75" fillId="0" borderId="0" xfId="0" applyFont="1" applyAlignment="1"/>
    <xf numFmtId="0" fontId="0" fillId="0" borderId="0" xfId="0" applyAlignment="1"/>
    <xf numFmtId="43" fontId="0" fillId="15" borderId="0" xfId="0" applyNumberFormat="1" applyFill="1"/>
    <xf numFmtId="10" fontId="0" fillId="15" borderId="0" xfId="0" applyNumberFormat="1" applyFill="1" applyBorder="1" applyAlignment="1">
      <alignment horizontal="center"/>
    </xf>
    <xf numFmtId="0" fontId="63" fillId="18" borderId="0" xfId="0" applyFont="1" applyFill="1" applyBorder="1" applyAlignment="1">
      <alignment horizontal="right"/>
    </xf>
    <xf numFmtId="0" fontId="4" fillId="3" borderId="6" xfId="0" applyFont="1" applyFill="1" applyBorder="1" applyAlignment="1" applyProtection="1">
      <alignment horizontal="center" vertical="center" wrapText="1"/>
    </xf>
    <xf numFmtId="0" fontId="61" fillId="0" borderId="73" xfId="0" applyFont="1" applyBorder="1" applyProtection="1">
      <protection locked="0"/>
    </xf>
    <xf numFmtId="3" fontId="0" fillId="0" borderId="74" xfId="0" applyNumberFormat="1" applyFill="1" applyBorder="1" applyProtection="1">
      <protection locked="0"/>
    </xf>
    <xf numFmtId="3" fontId="0" fillId="0" borderId="75" xfId="0" applyNumberFormat="1" applyFill="1" applyBorder="1" applyProtection="1">
      <protection locked="0"/>
    </xf>
    <xf numFmtId="3" fontId="0" fillId="0" borderId="76" xfId="0" applyNumberFormat="1" applyFill="1" applyBorder="1" applyProtection="1">
      <protection locked="0"/>
    </xf>
    <xf numFmtId="0" fontId="32" fillId="12" borderId="61" xfId="0" applyFont="1" applyFill="1" applyBorder="1" applyAlignment="1" applyProtection="1">
      <protection locked="0"/>
    </xf>
    <xf numFmtId="3" fontId="32" fillId="12" borderId="2" xfId="0" applyNumberFormat="1" applyFont="1" applyFill="1" applyBorder="1" applyAlignment="1" applyProtection="1">
      <protection locked="0"/>
    </xf>
    <xf numFmtId="3" fontId="32" fillId="12" borderId="77" xfId="0" applyNumberFormat="1" applyFont="1" applyFill="1" applyBorder="1" applyAlignment="1" applyProtection="1">
      <protection locked="0"/>
    </xf>
    <xf numFmtId="0" fontId="32" fillId="0" borderId="73" xfId="0" applyFont="1" applyBorder="1" applyProtection="1">
      <protection locked="0"/>
    </xf>
    <xf numFmtId="0" fontId="5" fillId="3" borderId="70" xfId="0" applyFont="1" applyFill="1" applyBorder="1" applyAlignment="1" applyProtection="1">
      <alignment horizontal="center"/>
    </xf>
    <xf numFmtId="0" fontId="0" fillId="3" borderId="68" xfId="0" applyFill="1" applyBorder="1" applyProtection="1"/>
    <xf numFmtId="3" fontId="0" fillId="16" borderId="6" xfId="0" applyNumberFormat="1" applyFill="1" applyBorder="1" applyProtection="1">
      <protection locked="0"/>
    </xf>
    <xf numFmtId="0" fontId="0" fillId="3" borderId="32" xfId="0" applyFill="1" applyBorder="1" applyProtection="1"/>
    <xf numFmtId="0" fontId="0" fillId="3" borderId="76" xfId="0" applyFill="1" applyBorder="1" applyProtection="1"/>
    <xf numFmtId="3" fontId="0" fillId="16" borderId="24" xfId="0" applyNumberFormat="1" applyFill="1" applyBorder="1" applyProtection="1">
      <protection locked="0"/>
    </xf>
    <xf numFmtId="3" fontId="0" fillId="16" borderId="5" xfId="0" applyNumberFormat="1" applyFill="1" applyBorder="1" applyProtection="1">
      <protection locked="0"/>
    </xf>
    <xf numFmtId="3" fontId="0" fillId="3" borderId="4" xfId="0" applyNumberFormat="1" applyFill="1" applyBorder="1" applyProtection="1">
      <protection locked="0"/>
    </xf>
    <xf numFmtId="0" fontId="0" fillId="0" borderId="4" xfId="0" applyBorder="1"/>
    <xf numFmtId="3" fontId="0" fillId="19" borderId="62" xfId="0" applyNumberFormat="1" applyFill="1" applyBorder="1" applyProtection="1">
      <protection locked="0"/>
    </xf>
    <xf numFmtId="0" fontId="75" fillId="0" borderId="0" xfId="0" applyFont="1" applyAlignment="1">
      <alignment vertical="top"/>
    </xf>
    <xf numFmtId="0" fontId="0" fillId="0" borderId="0" xfId="0" applyAlignment="1">
      <alignment vertical="top"/>
    </xf>
    <xf numFmtId="3" fontId="0" fillId="16" borderId="3" xfId="0" applyNumberFormat="1" applyFill="1" applyBorder="1" applyProtection="1">
      <protection locked="0"/>
    </xf>
    <xf numFmtId="4" fontId="0" fillId="15" borderId="0" xfId="0" applyNumberFormat="1" applyFont="1" applyFill="1"/>
    <xf numFmtId="4" fontId="0" fillId="15" borderId="0" xfId="0" applyNumberFormat="1" applyFill="1"/>
    <xf numFmtId="0" fontId="77" fillId="0" borderId="0" xfId="0" applyFont="1" applyAlignment="1">
      <alignment vertical="center"/>
    </xf>
    <xf numFmtId="3" fontId="0" fillId="19" borderId="4" xfId="0" applyNumberFormat="1" applyFill="1" applyBorder="1" applyProtection="1">
      <protection locked="0"/>
    </xf>
    <xf numFmtId="3" fontId="0" fillId="19" borderId="70" xfId="0" applyNumberFormat="1" applyFill="1" applyBorder="1" applyProtection="1">
      <protection locked="0"/>
    </xf>
    <xf numFmtId="172" fontId="0" fillId="19" borderId="24" xfId="0" applyNumberFormat="1" applyFill="1" applyBorder="1" applyProtection="1">
      <protection locked="0"/>
    </xf>
    <xf numFmtId="172" fontId="0" fillId="19" borderId="70" xfId="0" applyNumberFormat="1" applyFill="1" applyBorder="1" applyProtection="1">
      <protection locked="0"/>
    </xf>
    <xf numFmtId="0" fontId="32" fillId="3" borderId="26" xfId="0" applyFont="1" applyFill="1" applyBorder="1" applyAlignment="1" applyProtection="1">
      <alignment wrapText="1"/>
    </xf>
    <xf numFmtId="3" fontId="63" fillId="3" borderId="6" xfId="0" applyNumberFormat="1" applyFont="1" applyFill="1" applyBorder="1" applyProtection="1">
      <protection locked="0"/>
    </xf>
    <xf numFmtId="3" fontId="0" fillId="3" borderId="7" xfId="0" applyNumberFormat="1" applyFill="1" applyBorder="1" applyProtection="1"/>
    <xf numFmtId="10" fontId="0" fillId="3" borderId="6" xfId="0" applyNumberFormat="1" applyFill="1" applyBorder="1" applyProtection="1"/>
    <xf numFmtId="3" fontId="0" fillId="16" borderId="11" xfId="0" applyNumberFormat="1" applyFill="1" applyBorder="1" applyProtection="1"/>
    <xf numFmtId="3" fontId="0" fillId="0" borderId="7" xfId="0" applyNumberFormat="1" applyFill="1" applyBorder="1" applyProtection="1"/>
    <xf numFmtId="3" fontId="0" fillId="0" borderId="6" xfId="0" applyNumberFormat="1" applyFill="1" applyBorder="1" applyProtection="1"/>
    <xf numFmtId="3" fontId="0" fillId="3" borderId="24" xfId="0" applyNumberFormat="1" applyFill="1" applyBorder="1" applyProtection="1"/>
    <xf numFmtId="3" fontId="0" fillId="0" borderId="24" xfId="0" applyNumberFormat="1" applyFill="1" applyBorder="1" applyProtection="1"/>
    <xf numFmtId="10" fontId="0" fillId="3" borderId="24" xfId="0" applyNumberFormat="1" applyFill="1" applyBorder="1" applyProtection="1"/>
    <xf numFmtId="3" fontId="0" fillId="16" borderId="6" xfId="0" applyNumberFormat="1" applyFill="1" applyBorder="1" applyProtection="1"/>
    <xf numFmtId="3" fontId="0" fillId="3" borderId="70" xfId="0" applyNumberFormat="1" applyFill="1" applyBorder="1" applyProtection="1"/>
    <xf numFmtId="3" fontId="0" fillId="3" borderId="3" xfId="0" applyNumberFormat="1" applyFill="1" applyBorder="1" applyProtection="1"/>
    <xf numFmtId="3" fontId="0" fillId="0" borderId="11" xfId="0" applyNumberFormat="1" applyFill="1" applyBorder="1" applyProtection="1"/>
    <xf numFmtId="3" fontId="0" fillId="0" borderId="23" xfId="0" applyNumberFormat="1" applyFill="1" applyBorder="1" applyProtection="1"/>
    <xf numFmtId="10" fontId="0" fillId="3" borderId="7" xfId="0" applyNumberFormat="1" applyFill="1" applyBorder="1" applyProtection="1"/>
    <xf numFmtId="4" fontId="32" fillId="3" borderId="23" xfId="0" applyNumberFormat="1" applyFont="1" applyFill="1" applyBorder="1" applyAlignment="1" applyProtection="1">
      <alignment wrapText="1"/>
    </xf>
    <xf numFmtId="4" fontId="32" fillId="3" borderId="23" xfId="0" applyNumberFormat="1" applyFont="1" applyFill="1" applyBorder="1" applyAlignment="1" applyProtection="1">
      <alignment horizontal="right" wrapText="1"/>
    </xf>
    <xf numFmtId="4" fontId="61" fillId="3" borderId="37" xfId="0" applyNumberFormat="1" applyFont="1" applyFill="1" applyBorder="1" applyAlignment="1" applyProtection="1">
      <alignment wrapText="1"/>
    </xf>
    <xf numFmtId="0" fontId="61" fillId="16" borderId="26" xfId="0" applyFont="1" applyFill="1" applyBorder="1" applyProtection="1"/>
    <xf numFmtId="0" fontId="61" fillId="0" borderId="26" xfId="0" applyFont="1" applyBorder="1" applyProtection="1"/>
    <xf numFmtId="0" fontId="61" fillId="0" borderId="26" xfId="0" applyFont="1" applyBorder="1" applyAlignment="1" applyProtection="1">
      <alignment wrapText="1"/>
    </xf>
    <xf numFmtId="3" fontId="0" fillId="3" borderId="12" xfId="0" applyNumberFormat="1" applyFill="1" applyBorder="1" applyProtection="1"/>
    <xf numFmtId="0" fontId="32" fillId="3" borderId="26" xfId="0" applyFont="1" applyFill="1" applyBorder="1" applyProtection="1">
      <protection locked="0"/>
    </xf>
    <xf numFmtId="4" fontId="32" fillId="3" borderId="37" xfId="0" applyNumberFormat="1" applyFont="1" applyFill="1" applyBorder="1" applyAlignment="1" applyProtection="1">
      <alignment wrapText="1"/>
    </xf>
    <xf numFmtId="4" fontId="0" fillId="3" borderId="44" xfId="0" applyNumberFormat="1" applyFill="1" applyBorder="1" applyProtection="1"/>
    <xf numFmtId="4" fontId="0" fillId="3" borderId="78" xfId="0" applyNumberFormat="1" applyFill="1" applyBorder="1" applyProtection="1"/>
    <xf numFmtId="2" fontId="0" fillId="0" borderId="0" xfId="0" applyNumberFormat="1" applyAlignment="1">
      <alignment horizontal="right"/>
    </xf>
    <xf numFmtId="4" fontId="4" fillId="0" borderId="79" xfId="0" applyNumberFormat="1" applyFont="1" applyFill="1" applyBorder="1" applyProtection="1">
      <protection locked="0"/>
    </xf>
    <xf numFmtId="0" fontId="41" fillId="3" borderId="0" xfId="0" applyFont="1" applyFill="1" applyBorder="1" applyAlignment="1" applyProtection="1">
      <alignment horizontal="left"/>
    </xf>
    <xf numFmtId="168" fontId="86" fillId="0" borderId="6" xfId="1" applyNumberFormat="1" applyFont="1" applyFill="1" applyBorder="1" applyProtection="1">
      <protection locked="0"/>
    </xf>
    <xf numFmtId="171" fontId="84" fillId="17" borderId="0" xfId="1" applyNumberFormat="1" applyFont="1" applyFill="1" applyBorder="1" applyProtection="1"/>
    <xf numFmtId="0" fontId="84" fillId="17" borderId="0" xfId="0" applyFont="1" applyFill="1" applyBorder="1" applyAlignment="1" applyProtection="1">
      <alignment horizontal="right"/>
    </xf>
    <xf numFmtId="0" fontId="84" fillId="17" borderId="0" xfId="0" applyFont="1" applyFill="1" applyBorder="1" applyAlignment="1" applyProtection="1">
      <alignment horizontal="center"/>
    </xf>
    <xf numFmtId="173" fontId="84" fillId="17" borderId="0" xfId="0" applyNumberFormat="1" applyFont="1" applyFill="1" applyBorder="1" applyProtection="1"/>
    <xf numFmtId="0" fontId="84" fillId="0" borderId="0" xfId="0" applyFont="1" applyProtection="1"/>
    <xf numFmtId="10" fontId="84" fillId="0" borderId="0" xfId="22" applyNumberFormat="1" applyFont="1" applyProtection="1"/>
    <xf numFmtId="171" fontId="84" fillId="0" borderId="0" xfId="1" applyNumberFormat="1" applyFont="1"/>
    <xf numFmtId="2" fontId="63" fillId="15" borderId="0" xfId="0" applyNumberFormat="1" applyFont="1" applyFill="1"/>
    <xf numFmtId="2" fontId="0" fillId="15" borderId="0" xfId="0" applyNumberFormat="1" applyFill="1"/>
    <xf numFmtId="2" fontId="0" fillId="0" borderId="0" xfId="0" applyNumberFormat="1" applyFill="1"/>
    <xf numFmtId="2" fontId="0" fillId="15" borderId="0" xfId="0" applyNumberFormat="1" applyFill="1" applyBorder="1"/>
    <xf numFmtId="2" fontId="0" fillId="0" borderId="0" xfId="0" applyNumberFormat="1" applyFill="1" applyBorder="1"/>
    <xf numFmtId="2" fontId="0" fillId="0" borderId="0" xfId="0" applyNumberFormat="1" applyFill="1" applyBorder="1" applyAlignment="1">
      <alignment horizontal="center"/>
    </xf>
    <xf numFmtId="10" fontId="2" fillId="15" borderId="0" xfId="22" applyNumberFormat="1" applyFont="1" applyFill="1"/>
    <xf numFmtId="10" fontId="2" fillId="15" borderId="0" xfId="22" applyNumberFormat="1" applyFont="1" applyFill="1" applyBorder="1"/>
    <xf numFmtId="168" fontId="6" fillId="3" borderId="67" xfId="0" applyNumberFormat="1" applyFont="1" applyFill="1" applyBorder="1" applyProtection="1"/>
    <xf numFmtId="0" fontId="23" fillId="3" borderId="80" xfId="0" applyFont="1" applyFill="1" applyBorder="1" applyProtection="1"/>
    <xf numFmtId="43" fontId="2" fillId="3" borderId="79" xfId="1" applyFont="1" applyFill="1" applyBorder="1" applyProtection="1"/>
    <xf numFmtId="10" fontId="2" fillId="3" borderId="81" xfId="22" applyNumberFormat="1" applyFont="1" applyFill="1" applyBorder="1" applyProtection="1"/>
    <xf numFmtId="43" fontId="2" fillId="3" borderId="69" xfId="1" applyFont="1" applyFill="1" applyBorder="1" applyProtection="1"/>
    <xf numFmtId="10" fontId="2" fillId="3" borderId="69" xfId="22" applyNumberFormat="1" applyFont="1" applyFill="1" applyBorder="1" applyProtection="1"/>
    <xf numFmtId="4" fontId="81" fillId="3" borderId="6" xfId="22" applyNumberFormat="1" applyFont="1" applyFill="1" applyBorder="1" applyAlignment="1" applyProtection="1">
      <alignment vertical="center"/>
    </xf>
    <xf numFmtId="4" fontId="11" fillId="3" borderId="6" xfId="1" applyNumberFormat="1" applyFont="1" applyFill="1" applyBorder="1" applyProtection="1"/>
    <xf numFmtId="4" fontId="81" fillId="3" borderId="6" xfId="1" applyNumberFormat="1" applyFont="1" applyFill="1" applyBorder="1" applyAlignment="1" applyProtection="1">
      <alignment vertical="center"/>
    </xf>
    <xf numFmtId="0" fontId="23" fillId="3" borderId="5" xfId="0" applyFont="1" applyFill="1" applyBorder="1" applyAlignment="1" applyProtection="1">
      <alignment horizontal="left"/>
    </xf>
    <xf numFmtId="10" fontId="0" fillId="17" borderId="6" xfId="0" applyNumberFormat="1" applyFill="1" applyBorder="1" applyProtection="1"/>
    <xf numFmtId="4" fontId="0" fillId="3" borderId="10" xfId="0" applyNumberFormat="1" applyFill="1" applyBorder="1" applyProtection="1"/>
    <xf numFmtId="4" fontId="0" fillId="3" borderId="24" xfId="0" applyNumberFormat="1" applyFill="1" applyBorder="1" applyProtection="1"/>
    <xf numFmtId="4" fontId="0" fillId="19" borderId="62" xfId="0" applyNumberFormat="1" applyFill="1" applyBorder="1" applyProtection="1">
      <protection locked="0"/>
    </xf>
    <xf numFmtId="3" fontId="0" fillId="0" borderId="3" xfId="0" applyNumberFormat="1" applyFill="1" applyBorder="1" applyProtection="1">
      <protection locked="0"/>
    </xf>
    <xf numFmtId="4" fontId="0" fillId="3" borderId="7" xfId="0" applyNumberFormat="1" applyFill="1" applyBorder="1" applyProtection="1"/>
    <xf numFmtId="4" fontId="32" fillId="16" borderId="4" xfId="0" applyNumberFormat="1" applyFont="1" applyFill="1" applyBorder="1" applyAlignment="1" applyProtection="1">
      <alignment wrapText="1"/>
      <protection locked="0"/>
    </xf>
    <xf numFmtId="4" fontId="32" fillId="16" borderId="70" xfId="0" applyNumberFormat="1" applyFont="1" applyFill="1" applyBorder="1" applyAlignment="1" applyProtection="1">
      <alignment wrapText="1"/>
      <protection locked="0"/>
    </xf>
    <xf numFmtId="4" fontId="32" fillId="16" borderId="24" xfId="0" applyNumberFormat="1" applyFont="1" applyFill="1" applyBorder="1" applyAlignment="1" applyProtection="1">
      <alignment wrapText="1"/>
      <protection locked="0"/>
    </xf>
    <xf numFmtId="170" fontId="11" fillId="7" borderId="6" xfId="2" applyNumberFormat="1" applyFont="1" applyFill="1" applyBorder="1" applyAlignment="1" applyProtection="1">
      <alignment vertical="center"/>
      <protection locked="0"/>
    </xf>
    <xf numFmtId="170" fontId="11" fillId="7" borderId="6" xfId="2" applyNumberFormat="1" applyFont="1" applyFill="1" applyBorder="1" applyAlignment="1" applyProtection="1">
      <alignment vertical="center" wrapText="1"/>
      <protection locked="0"/>
    </xf>
    <xf numFmtId="4" fontId="0" fillId="3" borderId="10" xfId="0" applyNumberFormat="1" applyFill="1" applyBorder="1" applyProtection="1">
      <protection locked="0"/>
    </xf>
    <xf numFmtId="0" fontId="23" fillId="3" borderId="0" xfId="0" applyFont="1" applyFill="1" applyBorder="1" applyAlignment="1" applyProtection="1"/>
    <xf numFmtId="0" fontId="0" fillId="0" borderId="0" xfId="0" applyAlignment="1" applyProtection="1"/>
    <xf numFmtId="0" fontId="59" fillId="3" borderId="0" xfId="0" applyFont="1" applyFill="1" applyBorder="1" applyAlignment="1" applyProtection="1"/>
    <xf numFmtId="0" fontId="44" fillId="3" borderId="0" xfId="0" applyFont="1" applyFill="1" applyBorder="1" applyAlignment="1" applyProtection="1"/>
    <xf numFmtId="0" fontId="0" fillId="3" borderId="0" xfId="0" applyFill="1" applyAlignment="1" applyProtection="1"/>
    <xf numFmtId="0" fontId="0" fillId="0" borderId="0" xfId="0" applyFont="1" applyAlignment="1" applyProtection="1"/>
    <xf numFmtId="0" fontId="23" fillId="3" borderId="0" xfId="0" applyFont="1" applyFill="1" applyAlignment="1" applyProtection="1"/>
    <xf numFmtId="0" fontId="23" fillId="3" borderId="0" xfId="0" applyFont="1" applyFill="1" applyBorder="1" applyAlignment="1" applyProtection="1">
      <alignment wrapText="1"/>
    </xf>
    <xf numFmtId="0" fontId="8" fillId="3" borderId="0" xfId="0" applyFont="1" applyFill="1" applyBorder="1" applyAlignment="1" applyProtection="1">
      <alignment horizontal="left"/>
    </xf>
    <xf numFmtId="0" fontId="44" fillId="3" borderId="0" xfId="0" applyFont="1" applyFill="1" applyBorder="1" applyAlignment="1" applyProtection="1">
      <alignment horizontal="left"/>
    </xf>
    <xf numFmtId="0" fontId="23" fillId="3" borderId="0" xfId="0" applyFont="1" applyFill="1" applyBorder="1" applyAlignment="1" applyProtection="1">
      <alignment vertical="center"/>
    </xf>
    <xf numFmtId="0" fontId="50" fillId="3" borderId="0" xfId="0" applyFont="1" applyFill="1" applyBorder="1" applyAlignment="1" applyProtection="1">
      <alignment vertical="center"/>
    </xf>
    <xf numFmtId="0" fontId="50" fillId="3" borderId="0" xfId="0" applyFont="1" applyFill="1" applyBorder="1" applyAlignment="1" applyProtection="1"/>
    <xf numFmtId="0" fontId="15" fillId="3" borderId="0" xfId="8" applyFill="1" applyBorder="1" applyAlignment="1" applyProtection="1">
      <alignment horizontal="center"/>
    </xf>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8" fillId="3" borderId="0" xfId="8" applyFont="1" applyFill="1" applyBorder="1" applyAlignment="1" applyProtection="1">
      <alignment horizontal="center"/>
    </xf>
    <xf numFmtId="0" fontId="21" fillId="3" borderId="0" xfId="9" applyFont="1" applyFill="1" applyBorder="1" applyAlignment="1" applyProtection="1">
      <alignment horizontal="center"/>
    </xf>
    <xf numFmtId="0" fontId="39" fillId="3" borderId="0" xfId="8" applyFont="1" applyFill="1" applyBorder="1" applyAlignment="1" applyProtection="1">
      <alignment horizontal="center" wrapText="1"/>
    </xf>
    <xf numFmtId="0" fontId="39" fillId="3" borderId="0" xfId="8" applyFont="1" applyFill="1" applyBorder="1" applyAlignment="1" applyProtection="1">
      <alignment horizontal="center"/>
    </xf>
    <xf numFmtId="0" fontId="50" fillId="7" borderId="7" xfId="0" applyFont="1" applyFill="1" applyBorder="1" applyAlignment="1" applyProtection="1">
      <alignment horizontal="center" vertical="center" wrapText="1"/>
    </xf>
    <xf numFmtId="0" fontId="50" fillId="7" borderId="2" xfId="0" applyFont="1" applyFill="1" applyBorder="1" applyAlignment="1" applyProtection="1">
      <alignment horizontal="center" vertical="center" wrapText="1"/>
    </xf>
    <xf numFmtId="0" fontId="50" fillId="7" borderId="10" xfId="0" applyFont="1" applyFill="1" applyBorder="1" applyAlignment="1" applyProtection="1">
      <alignment horizontal="center" vertical="center" wrapText="1"/>
    </xf>
    <xf numFmtId="0" fontId="23" fillId="7" borderId="1" xfId="0" applyFont="1" applyFill="1" applyBorder="1" applyAlignment="1" applyProtection="1">
      <alignment horizontal="center" vertical="center" wrapText="1" readingOrder="1"/>
    </xf>
    <xf numFmtId="0" fontId="44" fillId="7" borderId="8" xfId="0" applyFont="1" applyFill="1" applyBorder="1" applyAlignment="1" applyProtection="1">
      <alignment horizontal="center" vertical="center" wrapText="1" readingOrder="1"/>
    </xf>
    <xf numFmtId="0" fontId="44" fillId="7" borderId="9" xfId="0" applyFont="1" applyFill="1" applyBorder="1" applyAlignment="1" applyProtection="1">
      <alignment horizontal="center" vertical="center" wrapText="1" readingOrder="1"/>
    </xf>
    <xf numFmtId="0" fontId="77" fillId="0" borderId="0" xfId="0" applyFont="1" applyAlignment="1">
      <alignment horizontal="left" vertical="center" wrapText="1"/>
    </xf>
    <xf numFmtId="0" fontId="0" fillId="0" borderId="0" xfId="0" applyAlignment="1">
      <alignment wrapText="1"/>
    </xf>
    <xf numFmtId="0" fontId="75" fillId="0" borderId="0" xfId="0" applyFont="1" applyAlignment="1">
      <alignment wrapText="1"/>
    </xf>
    <xf numFmtId="0" fontId="75" fillId="0" borderId="0" xfId="0" applyFont="1" applyAlignment="1">
      <alignment horizontal="justify" vertical="center" wrapText="1"/>
    </xf>
    <xf numFmtId="0" fontId="76" fillId="0" borderId="0" xfId="0" applyFont="1" applyAlignment="1">
      <alignment wrapText="1"/>
    </xf>
    <xf numFmtId="0" fontId="32" fillId="14" borderId="23" xfId="0" applyFont="1" applyFill="1" applyBorder="1" applyAlignment="1" applyProtection="1">
      <alignment horizontal="center" wrapText="1"/>
    </xf>
    <xf numFmtId="0" fontId="32" fillId="14" borderId="11" xfId="0" applyFont="1" applyFill="1" applyBorder="1" applyAlignment="1" applyProtection="1">
      <alignment horizontal="center" wrapText="1"/>
    </xf>
    <xf numFmtId="0" fontId="55" fillId="0" borderId="23" xfId="0" applyFont="1" applyFill="1" applyBorder="1" applyAlignment="1" applyProtection="1">
      <alignment horizontal="center"/>
      <protection locked="0"/>
    </xf>
    <xf numFmtId="0" fontId="0" fillId="0" borderId="11" xfId="0" applyBorder="1" applyAlignment="1" applyProtection="1">
      <protection locked="0"/>
    </xf>
    <xf numFmtId="0" fontId="72" fillId="3" borderId="0" xfId="0" applyFont="1" applyFill="1" applyBorder="1" applyAlignment="1" applyProtection="1">
      <alignment horizontal="center"/>
    </xf>
    <xf numFmtId="0" fontId="0" fillId="0" borderId="0" xfId="0" applyAlignment="1">
      <alignment horizontal="center"/>
    </xf>
    <xf numFmtId="0" fontId="32" fillId="14" borderId="62" xfId="0" applyFont="1" applyFill="1" applyBorder="1" applyAlignment="1" applyProtection="1">
      <alignment horizontal="center" wrapText="1"/>
    </xf>
    <xf numFmtId="0" fontId="36" fillId="0" borderId="23" xfId="0" applyFont="1" applyFill="1" applyBorder="1" applyAlignment="1" applyProtection="1">
      <alignment horizontal="center"/>
      <protection locked="0"/>
    </xf>
    <xf numFmtId="0" fontId="0" fillId="0" borderId="62" xfId="0" applyBorder="1" applyAlignment="1" applyProtection="1">
      <protection locked="0"/>
    </xf>
    <xf numFmtId="0" fontId="22" fillId="0" borderId="23" xfId="0" applyFont="1" applyFill="1" applyBorder="1" applyAlignment="1" applyProtection="1">
      <protection locked="0"/>
    </xf>
    <xf numFmtId="0" fontId="19" fillId="3" borderId="0" xfId="0" applyFont="1" applyFill="1" applyBorder="1" applyAlignment="1" applyProtection="1">
      <alignment horizontal="center"/>
    </xf>
    <xf numFmtId="0" fontId="66" fillId="3" borderId="0" xfId="0" applyFont="1" applyFill="1" applyBorder="1" applyAlignment="1" applyProtection="1">
      <alignment horizontal="center"/>
    </xf>
    <xf numFmtId="0" fontId="22" fillId="0" borderId="23" xfId="0" quotePrefix="1" applyFont="1" applyFill="1" applyBorder="1" applyAlignment="1" applyProtection="1">
      <alignment horizontal="left"/>
      <protection locked="0"/>
    </xf>
    <xf numFmtId="0" fontId="0" fillId="0" borderId="62" xfId="0" applyBorder="1" applyAlignment="1" applyProtection="1">
      <alignment horizontal="left"/>
      <protection locked="0"/>
    </xf>
    <xf numFmtId="0" fontId="0" fillId="0" borderId="11" xfId="0" applyBorder="1" applyAlignment="1" applyProtection="1">
      <alignment horizontal="left"/>
      <protection locked="0"/>
    </xf>
    <xf numFmtId="170" fontId="11" fillId="3" borderId="23" xfId="1" applyNumberFormat="1" applyFont="1" applyFill="1" applyBorder="1" applyAlignment="1" applyProtection="1"/>
    <xf numFmtId="170" fontId="11" fillId="3" borderId="11" xfId="1" applyNumberFormat="1" applyFont="1" applyFill="1" applyBorder="1" applyAlignment="1" applyProtection="1"/>
    <xf numFmtId="0" fontId="11" fillId="7" borderId="23" xfId="0" applyFont="1" applyFill="1" applyBorder="1" applyAlignment="1" applyProtection="1">
      <alignment vertical="justify"/>
      <protection locked="0"/>
    </xf>
    <xf numFmtId="0" fontId="11" fillId="7" borderId="62" xfId="0" applyFont="1" applyFill="1" applyBorder="1" applyAlignment="1" applyProtection="1">
      <alignment vertical="justify"/>
      <protection locked="0"/>
    </xf>
    <xf numFmtId="0" fontId="11" fillId="7" borderId="11" xfId="0" applyFont="1" applyFill="1" applyBorder="1" applyAlignment="1" applyProtection="1">
      <alignment vertical="justify"/>
      <protection locked="0"/>
    </xf>
    <xf numFmtId="0" fontId="8" fillId="3" borderId="23" xfId="0" applyFont="1" applyFill="1" applyBorder="1" applyAlignment="1" applyProtection="1">
      <alignment horizontal="center"/>
    </xf>
    <xf numFmtId="0" fontId="8" fillId="3" borderId="62" xfId="0" applyFont="1" applyFill="1" applyBorder="1" applyAlignment="1" applyProtection="1">
      <alignment horizontal="center"/>
    </xf>
    <xf numFmtId="0" fontId="8" fillId="3" borderId="11" xfId="0" applyFont="1" applyFill="1" applyBorder="1" applyAlignment="1" applyProtection="1">
      <alignment horizontal="center"/>
    </xf>
    <xf numFmtId="0" fontId="42" fillId="3" borderId="0" xfId="0" applyFont="1" applyFill="1" applyBorder="1" applyAlignment="1" applyProtection="1">
      <alignment horizontal="center"/>
    </xf>
    <xf numFmtId="0" fontId="6" fillId="3" borderId="0" xfId="0" applyFont="1" applyFill="1" applyBorder="1" applyAlignment="1" applyProtection="1">
      <alignment horizontal="center" wrapText="1"/>
    </xf>
    <xf numFmtId="0" fontId="40" fillId="3" borderId="0" xfId="0" applyFont="1" applyFill="1" applyBorder="1" applyAlignment="1" applyProtection="1">
      <alignment horizontal="center"/>
    </xf>
    <xf numFmtId="0" fontId="24" fillId="3" borderId="0" xfId="0" applyFont="1" applyFill="1" applyBorder="1" applyAlignment="1" applyProtection="1">
      <alignment horizontal="center"/>
    </xf>
    <xf numFmtId="0" fontId="33" fillId="3" borderId="0" xfId="0" applyFont="1" applyFill="1" applyBorder="1" applyAlignment="1" applyProtection="1">
      <alignment horizontal="center"/>
    </xf>
    <xf numFmtId="0" fontId="28" fillId="3" borderId="23" xfId="0" applyFont="1" applyFill="1" applyBorder="1" applyAlignment="1" applyProtection="1">
      <alignment horizontal="center" vertical="center" wrapText="1"/>
    </xf>
    <xf numFmtId="0" fontId="28" fillId="3" borderId="62" xfId="0" applyFont="1" applyFill="1" applyBorder="1" applyAlignment="1" applyProtection="1">
      <alignment horizontal="center" vertical="center" wrapText="1"/>
    </xf>
    <xf numFmtId="0" fontId="28" fillId="3" borderId="11" xfId="0" applyFont="1" applyFill="1" applyBorder="1" applyAlignment="1" applyProtection="1">
      <alignment horizontal="center" vertical="center" wrapText="1"/>
    </xf>
    <xf numFmtId="170" fontId="36" fillId="3" borderId="23" xfId="1" applyNumberFormat="1" applyFont="1" applyFill="1" applyBorder="1" applyAlignment="1" applyProtection="1"/>
    <xf numFmtId="170" fontId="36" fillId="3" borderId="11" xfId="1" applyNumberFormat="1" applyFont="1" applyFill="1" applyBorder="1" applyAlignment="1" applyProtection="1"/>
    <xf numFmtId="168" fontId="22" fillId="0" borderId="23" xfId="1" applyNumberFormat="1" applyFont="1" applyFill="1" applyBorder="1" applyAlignment="1" applyProtection="1">
      <alignment horizontal="center"/>
      <protection locked="0"/>
    </xf>
    <xf numFmtId="168" fontId="22" fillId="0" borderId="11" xfId="1" applyNumberFormat="1" applyFont="1" applyFill="1" applyBorder="1" applyAlignment="1" applyProtection="1">
      <alignment horizontal="center"/>
      <protection locked="0"/>
    </xf>
    <xf numFmtId="168" fontId="36" fillId="3" borderId="23" xfId="1" applyNumberFormat="1" applyFont="1" applyFill="1" applyBorder="1" applyAlignment="1" applyProtection="1">
      <alignment horizontal="center"/>
    </xf>
    <xf numFmtId="168" fontId="36" fillId="3" borderId="11" xfId="1" applyNumberFormat="1" applyFont="1" applyFill="1" applyBorder="1" applyAlignment="1" applyProtection="1">
      <alignment horizontal="center"/>
    </xf>
    <xf numFmtId="0" fontId="18" fillId="3" borderId="0" xfId="0" applyFont="1" applyFill="1" applyBorder="1" applyAlignment="1" applyProtection="1">
      <alignment horizontal="center"/>
    </xf>
    <xf numFmtId="0" fontId="39"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38" fillId="3" borderId="0" xfId="0" applyFont="1" applyFill="1" applyBorder="1" applyAlignment="1" applyProtection="1">
      <alignment horizontal="center"/>
    </xf>
    <xf numFmtId="0" fontId="8" fillId="3" borderId="23" xfId="0" applyFont="1" applyFill="1" applyBorder="1" applyAlignment="1" applyProtection="1">
      <alignment horizontal="center" vertical="top"/>
    </xf>
    <xf numFmtId="0" fontId="35" fillId="3" borderId="62" xfId="0" applyFont="1" applyFill="1" applyBorder="1" applyAlignment="1" applyProtection="1">
      <alignment horizontal="center" vertical="top"/>
    </xf>
    <xf numFmtId="0" fontId="35" fillId="3" borderId="11" xfId="0" applyFont="1" applyFill="1" applyBorder="1" applyAlignment="1" applyProtection="1">
      <alignment horizontal="center" vertical="top"/>
    </xf>
    <xf numFmtId="0" fontId="39" fillId="3" borderId="0" xfId="0" applyFont="1" applyFill="1" applyBorder="1" applyAlignment="1" applyProtection="1">
      <alignment horizontal="center"/>
    </xf>
    <xf numFmtId="0" fontId="41" fillId="3" borderId="0" xfId="0" applyFont="1" applyFill="1" applyBorder="1" applyAlignment="1" applyProtection="1">
      <alignment horizontal="center"/>
    </xf>
    <xf numFmtId="0" fontId="5" fillId="3" borderId="6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77" xfId="0" applyFont="1" applyFill="1" applyBorder="1" applyAlignment="1" applyProtection="1">
      <alignment horizontal="center" vertical="center" wrapText="1"/>
    </xf>
    <xf numFmtId="0" fontId="5" fillId="3" borderId="86" xfId="0" applyFont="1" applyFill="1" applyBorder="1" applyAlignment="1" applyProtection="1">
      <alignment horizontal="center" vertical="center" wrapText="1"/>
    </xf>
    <xf numFmtId="0" fontId="5" fillId="3" borderId="87" xfId="0" applyFont="1" applyFill="1" applyBorder="1" applyAlignment="1" applyProtection="1">
      <alignment horizontal="center" vertical="center" wrapText="1"/>
    </xf>
    <xf numFmtId="0" fontId="5" fillId="3" borderId="88" xfId="0" applyFont="1" applyFill="1" applyBorder="1" applyAlignment="1" applyProtection="1">
      <alignment horizontal="center" vertical="center" wrapText="1"/>
    </xf>
    <xf numFmtId="4" fontId="4" fillId="0" borderId="41" xfId="0" applyNumberFormat="1" applyFont="1" applyFill="1" applyBorder="1" applyAlignment="1" applyProtection="1">
      <alignment horizontal="left"/>
      <protection locked="0"/>
    </xf>
    <xf numFmtId="4" fontId="4" fillId="0" borderId="11" xfId="0" applyNumberFormat="1" applyFont="1" applyFill="1" applyBorder="1" applyAlignment="1" applyProtection="1">
      <alignment horizontal="left"/>
      <protection locked="0"/>
    </xf>
    <xf numFmtId="0" fontId="5" fillId="3" borderId="28" xfId="0" applyFont="1" applyFill="1" applyBorder="1" applyAlignment="1" applyProtection="1"/>
    <xf numFmtId="0" fontId="5" fillId="3" borderId="90" xfId="0" applyFont="1" applyFill="1" applyBorder="1" applyAlignment="1" applyProtection="1"/>
    <xf numFmtId="4" fontId="4" fillId="0" borderId="48" xfId="0" applyNumberFormat="1" applyFont="1" applyFill="1" applyBorder="1" applyAlignment="1" applyProtection="1">
      <alignment horizontal="left"/>
      <protection locked="0"/>
    </xf>
    <xf numFmtId="4" fontId="4" fillId="0" borderId="45" xfId="0" applyNumberFormat="1" applyFont="1" applyFill="1" applyBorder="1" applyAlignment="1" applyProtection="1">
      <alignment horizontal="left"/>
      <protection locked="0"/>
    </xf>
    <xf numFmtId="0" fontId="8" fillId="12" borderId="82" xfId="0" applyFont="1" applyFill="1" applyBorder="1" applyAlignment="1" applyProtection="1">
      <alignment horizontal="center"/>
    </xf>
    <xf numFmtId="0" fontId="8" fillId="12" borderId="32" xfId="0" applyFont="1" applyFill="1" applyBorder="1" applyAlignment="1" applyProtection="1">
      <alignment horizontal="center"/>
    </xf>
    <xf numFmtId="0" fontId="8" fillId="12" borderId="66" xfId="0" applyFont="1" applyFill="1" applyBorder="1" applyAlignment="1" applyProtection="1">
      <alignment horizontal="center"/>
    </xf>
    <xf numFmtId="4" fontId="4" fillId="0" borderId="48" xfId="0" applyNumberFormat="1" applyFont="1" applyFill="1" applyBorder="1" applyAlignment="1" applyProtection="1">
      <protection locked="0"/>
    </xf>
    <xf numFmtId="4" fontId="4" fillId="0" borderId="45" xfId="0" applyNumberFormat="1" applyFont="1" applyFill="1" applyBorder="1" applyAlignment="1" applyProtection="1">
      <protection locked="0"/>
    </xf>
    <xf numFmtId="0" fontId="8" fillId="12" borderId="83" xfId="0" applyFont="1" applyFill="1" applyBorder="1" applyAlignment="1" applyProtection="1">
      <alignment horizontal="center"/>
    </xf>
    <xf numFmtId="0" fontId="0" fillId="0" borderId="84" xfId="0" applyBorder="1" applyAlignment="1" applyProtection="1">
      <alignment horizontal="center"/>
    </xf>
    <xf numFmtId="0" fontId="0" fillId="0" borderId="85" xfId="0" applyBorder="1" applyAlignment="1" applyProtection="1">
      <alignment horizontal="center"/>
    </xf>
    <xf numFmtId="0" fontId="5" fillId="3" borderId="89" xfId="0" applyFont="1" applyFill="1" applyBorder="1" applyAlignment="1" applyProtection="1">
      <alignment horizontal="center" vertical="center" wrapText="1"/>
    </xf>
    <xf numFmtId="0" fontId="8" fillId="12" borderId="91" xfId="0" applyFont="1" applyFill="1" applyBorder="1" applyAlignment="1" applyProtection="1">
      <alignment horizontal="center"/>
    </xf>
    <xf numFmtId="0" fontId="8" fillId="12" borderId="92" xfId="0" applyFont="1" applyFill="1" applyBorder="1" applyAlignment="1" applyProtection="1">
      <alignment horizontal="center"/>
    </xf>
    <xf numFmtId="0" fontId="8" fillId="12" borderId="93" xfId="0" applyFont="1" applyFill="1" applyBorder="1" applyAlignment="1" applyProtection="1">
      <alignment horizontal="center"/>
    </xf>
    <xf numFmtId="0" fontId="0" fillId="0" borderId="0" xfId="0" applyBorder="1" applyAlignment="1" applyProtection="1"/>
    <xf numFmtId="0" fontId="41" fillId="3" borderId="0" xfId="0" applyFont="1" applyFill="1" applyBorder="1" applyAlignment="1" applyProtection="1"/>
    <xf numFmtId="0" fontId="41" fillId="3" borderId="0" xfId="0" applyFont="1" applyFill="1" applyBorder="1" applyAlignment="1" applyProtection="1">
      <alignment horizontal="left"/>
    </xf>
    <xf numFmtId="0" fontId="8" fillId="12" borderId="54" xfId="0" applyFont="1" applyFill="1" applyBorder="1" applyAlignment="1" applyProtection="1">
      <alignment horizontal="center"/>
    </xf>
    <xf numFmtId="0" fontId="0" fillId="0" borderId="29" xfId="0" applyBorder="1" applyAlignment="1" applyProtection="1"/>
    <xf numFmtId="0" fontId="0" fillId="0" borderId="94" xfId="0" applyBorder="1" applyAlignment="1" applyProtection="1"/>
    <xf numFmtId="0" fontId="5" fillId="3" borderId="15"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77"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7" xfId="0" applyBorder="1" applyAlignment="1" applyProtection="1">
      <alignment horizontal="center" vertical="center" wrapText="1"/>
    </xf>
    <xf numFmtId="0" fontId="5" fillId="3" borderId="95" xfId="0" applyFont="1" applyFill="1" applyBorder="1" applyAlignment="1" applyProtection="1">
      <alignment horizontal="center" vertical="center" wrapText="1"/>
    </xf>
    <xf numFmtId="0" fontId="0" fillId="0" borderId="96" xfId="0" applyBorder="1" applyAlignment="1" applyProtection="1">
      <alignment horizontal="center" vertical="center" wrapText="1"/>
    </xf>
    <xf numFmtId="0" fontId="0" fillId="0" borderId="97" xfId="0"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0" fillId="0" borderId="98" xfId="0"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8" fillId="3" borderId="23" xfId="0" applyFont="1" applyFill="1" applyBorder="1" applyAlignment="1" applyProtection="1">
      <alignment horizontal="center"/>
      <protection locked="0"/>
    </xf>
    <xf numFmtId="0" fontId="0" fillId="0" borderId="62" xfId="0" applyBorder="1" applyAlignment="1" applyProtection="1">
      <alignment horizontal="center"/>
      <protection locked="0"/>
    </xf>
    <xf numFmtId="0" fontId="0" fillId="0" borderId="11" xfId="0" applyBorder="1" applyAlignment="1" applyProtection="1">
      <alignment horizontal="center"/>
      <protection locked="0"/>
    </xf>
    <xf numFmtId="0" fontId="32" fillId="12" borderId="41" xfId="0" applyFont="1" applyFill="1" applyBorder="1" applyAlignment="1" applyProtection="1">
      <protection locked="0"/>
    </xf>
    <xf numFmtId="0" fontId="0" fillId="0" borderId="99" xfId="0" applyBorder="1" applyAlignment="1" applyProtection="1">
      <protection locked="0"/>
    </xf>
    <xf numFmtId="0" fontId="8" fillId="12" borderId="100" xfId="0" applyFont="1" applyFill="1" applyBorder="1" applyAlignment="1" applyProtection="1">
      <alignment horizontal="center"/>
    </xf>
    <xf numFmtId="0" fontId="8" fillId="12" borderId="96" xfId="0" applyFont="1" applyFill="1" applyBorder="1" applyAlignment="1" applyProtection="1">
      <alignment horizontal="center"/>
    </xf>
    <xf numFmtId="0" fontId="0" fillId="0" borderId="96" xfId="0" applyBorder="1" applyAlignment="1" applyProtection="1"/>
    <xf numFmtId="0" fontId="0" fillId="0" borderId="98" xfId="0" applyBorder="1" applyAlignment="1" applyProtection="1"/>
    <xf numFmtId="0" fontId="8" fillId="12" borderId="7" xfId="0" applyFont="1" applyFill="1" applyBorder="1" applyAlignment="1" applyProtection="1">
      <alignment horizontal="center"/>
    </xf>
    <xf numFmtId="0" fontId="0" fillId="0" borderId="2" xfId="0" applyBorder="1" applyAlignment="1" applyProtection="1"/>
    <xf numFmtId="0" fontId="0" fillId="0" borderId="77" xfId="0" applyBorder="1" applyAlignment="1" applyProtection="1"/>
    <xf numFmtId="0" fontId="19" fillId="3" borderId="0" xfId="0" applyFont="1" applyFill="1" applyBorder="1" applyAlignment="1" applyProtection="1">
      <alignment horizontal="center"/>
      <protection locked="0"/>
    </xf>
    <xf numFmtId="0" fontId="0" fillId="0" borderId="0" xfId="0" applyBorder="1" applyAlignment="1" applyProtection="1">
      <protection locked="0"/>
    </xf>
    <xf numFmtId="0" fontId="39" fillId="3" borderId="0" xfId="0" applyFont="1" applyFill="1" applyBorder="1" applyAlignment="1" applyProtection="1">
      <alignment horizontal="center"/>
      <protection locked="0"/>
    </xf>
    <xf numFmtId="0" fontId="23" fillId="15" borderId="0" xfId="0" applyFont="1" applyFill="1" applyBorder="1" applyAlignment="1" applyProtection="1">
      <alignment horizontal="center" vertical="center" wrapText="1"/>
    </xf>
    <xf numFmtId="0" fontId="5" fillId="3" borderId="63" xfId="0" applyFont="1" applyFill="1" applyBorder="1" applyAlignment="1" applyProtection="1">
      <alignment horizontal="center" vertical="center" wrapText="1"/>
    </xf>
    <xf numFmtId="0" fontId="0" fillId="0" borderId="55" xfId="0" applyBorder="1" applyAlignment="1" applyProtection="1"/>
    <xf numFmtId="0" fontId="8" fillId="3" borderId="62" xfId="0" applyFont="1" applyFill="1" applyBorder="1" applyAlignment="1" applyProtection="1">
      <alignment horizontal="center"/>
      <protection locked="0"/>
    </xf>
    <xf numFmtId="0" fontId="44" fillId="15" borderId="0" xfId="0" applyFont="1" applyFill="1" applyBorder="1" applyAlignment="1" applyProtection="1">
      <alignment horizontal="center" vertical="center"/>
    </xf>
    <xf numFmtId="0" fontId="62" fillId="15" borderId="0" xfId="0" applyFont="1" applyFill="1" applyAlignment="1" applyProtection="1">
      <alignment vertical="center"/>
    </xf>
    <xf numFmtId="0" fontId="32" fillId="12" borderId="62" xfId="0" applyFont="1" applyFill="1" applyBorder="1" applyAlignment="1" applyProtection="1">
      <protection locked="0"/>
    </xf>
    <xf numFmtId="0" fontId="5" fillId="3" borderId="1" xfId="0" applyFont="1" applyFill="1" applyBorder="1" applyAlignment="1" applyProtection="1">
      <alignment horizontal="center" vertical="center" wrapText="1"/>
    </xf>
    <xf numFmtId="0" fontId="0" fillId="0" borderId="7" xfId="0" applyBorder="1" applyAlignment="1" applyProtection="1"/>
    <xf numFmtId="0" fontId="5" fillId="3" borderId="102"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103" xfId="0" applyFont="1" applyFill="1" applyBorder="1" applyAlignment="1" applyProtection="1">
      <alignment horizontal="center" vertical="center" wrapText="1"/>
    </xf>
    <xf numFmtId="0" fontId="32" fillId="12" borderId="8" xfId="0" applyFont="1" applyFill="1" applyBorder="1" applyAlignment="1" applyProtection="1">
      <protection locked="0"/>
    </xf>
    <xf numFmtId="0" fontId="0" fillId="0" borderId="8" xfId="0" applyBorder="1" applyAlignment="1" applyProtection="1">
      <protection locked="0"/>
    </xf>
    <xf numFmtId="0" fontId="8" fillId="12" borderId="2" xfId="0" applyFont="1" applyFill="1" applyBorder="1" applyAlignment="1" applyProtection="1">
      <alignment horizontal="center"/>
    </xf>
    <xf numFmtId="0" fontId="32" fillId="12" borderId="101" xfId="0" applyFont="1" applyFill="1" applyBorder="1" applyAlignment="1" applyProtection="1">
      <protection locked="0"/>
    </xf>
  </cellXfs>
  <cellStyles count="25">
    <cellStyle name="Comma" xfId="1" builtinId="3"/>
    <cellStyle name="Comma 2" xfId="2"/>
    <cellStyle name="Currency" xfId="3" builtinId="4"/>
    <cellStyle name="Currency 2" xfId="4"/>
    <cellStyle name="Error checks" xfId="5"/>
    <cellStyle name="Forecast Input" xfId="6"/>
    <cellStyle name="Forecast Input%" xfId="7"/>
    <cellStyle name="Heading1" xfId="8"/>
    <cellStyle name="Heading2" xfId="9"/>
    <cellStyle name="Heading3" xfId="10"/>
    <cellStyle name="Hyperlink" xfId="11" builtinId="8"/>
    <cellStyle name="Info input %" xfId="12"/>
    <cellStyle name="Info Input1" xfId="13"/>
    <cellStyle name="Input1" xfId="14"/>
    <cellStyle name="Input1 2" xfId="15"/>
    <cellStyle name="Input1 3" xfId="16"/>
    <cellStyle name="Input1%" xfId="17"/>
    <cellStyle name="Input1% 2" xfId="18"/>
    <cellStyle name="Input1% 3" xfId="19"/>
    <cellStyle name="key outputs" xfId="20"/>
    <cellStyle name="links" xfId="21"/>
    <cellStyle name="Normal" xfId="0" builtinId="0"/>
    <cellStyle name="Percent" xfId="22" builtinId="5"/>
    <cellStyle name="QA" xfId="23"/>
    <cellStyle name="Warnings" xfId="2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123</xdr:row>
      <xdr:rowOff>104775</xdr:rowOff>
    </xdr:from>
    <xdr:to>
      <xdr:col>9</xdr:col>
      <xdr:colOff>47625</xdr:colOff>
      <xdr:row>156</xdr:row>
      <xdr:rowOff>85725</xdr:rowOff>
    </xdr:to>
    <xdr:sp macro="" textlink="">
      <xdr:nvSpPr>
        <xdr:cNvPr id="843066" name="AutoShape 2798"/>
        <xdr:cNvSpPr>
          <a:spLocks noChangeAspect="1" noChangeArrowheads="1"/>
        </xdr:cNvSpPr>
      </xdr:nvSpPr>
      <xdr:spPr bwMode="auto">
        <a:xfrm>
          <a:off x="104775" y="26431875"/>
          <a:ext cx="5562600" cy="680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209550</xdr:colOff>
      <xdr:row>0</xdr:row>
      <xdr:rowOff>104775</xdr:rowOff>
    </xdr:from>
    <xdr:to>
      <xdr:col>5</xdr:col>
      <xdr:colOff>104775</xdr:colOff>
      <xdr:row>4</xdr:row>
      <xdr:rowOff>57150</xdr:rowOff>
    </xdr:to>
    <xdr:pic>
      <xdr:nvPicPr>
        <xdr:cNvPr id="843067" name="Picture 10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04775"/>
          <a:ext cx="29908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0</xdr:rowOff>
    </xdr:from>
    <xdr:to>
      <xdr:col>8</xdr:col>
      <xdr:colOff>76200</xdr:colOff>
      <xdr:row>156</xdr:row>
      <xdr:rowOff>152400</xdr:rowOff>
    </xdr:to>
    <xdr:pic>
      <xdr:nvPicPr>
        <xdr:cNvPr id="84306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727150"/>
          <a:ext cx="5000625" cy="657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125</xdr:row>
      <xdr:rowOff>66675</xdr:rowOff>
    </xdr:from>
    <xdr:to>
      <xdr:col>8</xdr:col>
      <xdr:colOff>666750</xdr:colOff>
      <xdr:row>158</xdr:row>
      <xdr:rowOff>28575</xdr:rowOff>
    </xdr:to>
    <xdr:pic>
      <xdr:nvPicPr>
        <xdr:cNvPr id="843069" name="Picture 10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793825"/>
          <a:ext cx="5591175" cy="691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4</xdr:col>
      <xdr:colOff>247650</xdr:colOff>
      <xdr:row>3</xdr:row>
      <xdr:rowOff>190500</xdr:rowOff>
    </xdr:to>
    <xdr:pic>
      <xdr:nvPicPr>
        <xdr:cNvPr id="841921"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04775"/>
          <a:ext cx="21526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chael_solo@ipart.nsw.gov.au" TargetMode="External"/><Relationship Id="rId1" Type="http://schemas.openxmlformats.org/officeDocument/2006/relationships/hyperlink" Target="mailto:tony_camenzuli@ipart.nsw.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53"/>
  <sheetViews>
    <sheetView showGridLines="0" view="pageBreakPreview" topLeftCell="A183" zoomScaleNormal="100" zoomScaleSheetLayoutView="100" workbookViewId="0">
      <selection activeCell="C26" sqref="C25:N26"/>
    </sheetView>
  </sheetViews>
  <sheetFormatPr defaultRowHeight="12" x14ac:dyDescent="0.2"/>
  <cols>
    <col min="1" max="1" width="8.140625" customWidth="1"/>
    <col min="2" max="2" width="10.85546875" customWidth="1"/>
    <col min="9" max="9" width="10.42578125" bestFit="1" customWidth="1"/>
    <col min="10" max="10" width="10.7109375" bestFit="1" customWidth="1"/>
    <col min="11" max="11" width="10" customWidth="1"/>
    <col min="12" max="12" width="27.7109375" customWidth="1"/>
    <col min="13" max="13" width="6.7109375" customWidth="1"/>
    <col min="14" max="14" width="6.140625" customWidth="1"/>
  </cols>
  <sheetData>
    <row r="1" spans="1:17" ht="42" customHeight="1" x14ac:dyDescent="0.4">
      <c r="A1" s="30"/>
      <c r="B1" s="730"/>
      <c r="C1" s="730"/>
      <c r="D1" s="730"/>
      <c r="E1" s="730"/>
      <c r="F1" s="730"/>
      <c r="G1" s="730"/>
      <c r="H1" s="730"/>
      <c r="I1" s="730"/>
      <c r="J1" s="730"/>
      <c r="K1" s="730"/>
      <c r="L1" s="102"/>
      <c r="M1" s="102"/>
      <c r="N1" s="113"/>
    </row>
    <row r="2" spans="1:17" ht="23.25" x14ac:dyDescent="0.35">
      <c r="A2" s="36"/>
      <c r="B2" s="731"/>
      <c r="C2" s="731"/>
      <c r="D2" s="731"/>
      <c r="E2" s="731"/>
      <c r="F2" s="731"/>
      <c r="G2" s="731"/>
      <c r="H2" s="731"/>
      <c r="I2" s="731"/>
      <c r="J2" s="731"/>
      <c r="K2" s="731"/>
      <c r="L2" s="103"/>
      <c r="M2" s="103"/>
      <c r="N2" s="114"/>
    </row>
    <row r="3" spans="1:17" ht="13.5" customHeight="1" x14ac:dyDescent="0.35">
      <c r="A3" s="36"/>
      <c r="B3" s="103"/>
      <c r="C3" s="103"/>
      <c r="D3" s="103"/>
      <c r="E3" s="103"/>
      <c r="F3" s="103"/>
      <c r="G3" s="103"/>
      <c r="H3" s="103"/>
      <c r="I3" s="103"/>
      <c r="J3" s="103"/>
      <c r="K3" s="103"/>
      <c r="L3" s="103"/>
      <c r="M3" s="103"/>
      <c r="N3" s="114"/>
    </row>
    <row r="4" spans="1:17" ht="13.5" customHeight="1" x14ac:dyDescent="0.35">
      <c r="A4" s="36"/>
      <c r="B4" s="103"/>
      <c r="C4" s="103"/>
      <c r="D4" s="103"/>
      <c r="E4" s="103"/>
      <c r="F4" s="103"/>
      <c r="G4" s="103"/>
      <c r="H4" s="103"/>
      <c r="I4" s="103"/>
      <c r="J4" s="103"/>
      <c r="K4" s="103"/>
      <c r="L4" s="103"/>
      <c r="M4" s="103"/>
      <c r="N4" s="114"/>
    </row>
    <row r="5" spans="1:17" ht="13.5" customHeight="1" x14ac:dyDescent="0.35">
      <c r="A5" s="36"/>
      <c r="B5" s="103"/>
      <c r="C5" s="103"/>
      <c r="D5" s="103"/>
      <c r="E5" s="103"/>
      <c r="F5" s="103"/>
      <c r="G5" s="103"/>
      <c r="H5" s="103"/>
      <c r="I5" s="103"/>
      <c r="J5" s="103"/>
      <c r="K5" s="103"/>
      <c r="L5" s="103"/>
      <c r="M5" s="103"/>
      <c r="N5" s="114"/>
    </row>
    <row r="6" spans="1:17" s="121" customFormat="1" ht="25.5" customHeight="1" x14ac:dyDescent="0.35">
      <c r="A6" s="360"/>
      <c r="B6" s="361" t="s">
        <v>327</v>
      </c>
      <c r="C6" s="222"/>
      <c r="D6" s="119"/>
      <c r="E6" s="222"/>
      <c r="F6" s="119"/>
      <c r="G6" s="119"/>
      <c r="H6" s="119"/>
      <c r="I6" s="119"/>
      <c r="J6" s="119"/>
      <c r="K6" s="119"/>
      <c r="L6" s="119"/>
      <c r="M6" s="119"/>
      <c r="N6" s="120"/>
    </row>
    <row r="7" spans="1:17" ht="23.25" x14ac:dyDescent="0.35">
      <c r="A7" s="36"/>
      <c r="B7" s="732" t="s">
        <v>318</v>
      </c>
      <c r="C7" s="732"/>
      <c r="D7" s="732"/>
      <c r="E7" s="732"/>
      <c r="F7" s="732"/>
      <c r="G7" s="732"/>
      <c r="H7" s="732"/>
      <c r="I7" s="732"/>
      <c r="J7" s="732"/>
      <c r="K7" s="732"/>
      <c r="L7" s="362"/>
      <c r="M7" s="362"/>
      <c r="N7" s="114"/>
    </row>
    <row r="8" spans="1:17" s="2" customFormat="1" ht="21" customHeight="1" x14ac:dyDescent="0.35">
      <c r="A8" s="36"/>
      <c r="B8" s="732" t="s">
        <v>319</v>
      </c>
      <c r="C8" s="732"/>
      <c r="D8" s="732"/>
      <c r="E8" s="732"/>
      <c r="F8" s="732"/>
      <c r="G8" s="732"/>
      <c r="H8" s="732"/>
      <c r="I8" s="732"/>
      <c r="J8" s="732"/>
      <c r="K8" s="732"/>
      <c r="L8" s="362"/>
      <c r="M8" s="362"/>
      <c r="N8" s="114"/>
    </row>
    <row r="9" spans="1:17" s="2" customFormat="1" ht="12.75" customHeight="1" x14ac:dyDescent="0.3">
      <c r="A9" s="36"/>
      <c r="B9" s="103"/>
      <c r="C9" s="103"/>
      <c r="D9" s="103"/>
      <c r="E9" s="103"/>
      <c r="F9" s="103"/>
      <c r="G9" s="103"/>
      <c r="H9" s="103"/>
      <c r="I9" s="103"/>
      <c r="J9" s="103"/>
      <c r="K9" s="103"/>
      <c r="L9" s="103"/>
      <c r="M9" s="103"/>
      <c r="N9" s="45"/>
    </row>
    <row r="10" spans="1:17" s="2" customFormat="1" ht="20.25" x14ac:dyDescent="0.3">
      <c r="A10" s="36"/>
      <c r="B10" s="733" t="s">
        <v>730</v>
      </c>
      <c r="C10" s="733"/>
      <c r="D10" s="733"/>
      <c r="E10" s="733"/>
      <c r="F10" s="733"/>
      <c r="G10" s="733"/>
      <c r="H10" s="733"/>
      <c r="I10" s="733"/>
      <c r="J10" s="733"/>
      <c r="K10" s="733"/>
      <c r="L10" s="363"/>
      <c r="M10" s="363"/>
      <c r="N10" s="115"/>
    </row>
    <row r="11" spans="1:17" s="2" customFormat="1" ht="18" x14ac:dyDescent="0.25">
      <c r="A11" s="36"/>
      <c r="B11" s="733"/>
      <c r="C11" s="733"/>
      <c r="D11" s="733"/>
      <c r="E11" s="733"/>
      <c r="F11" s="733"/>
      <c r="G11" s="733"/>
      <c r="H11" s="733"/>
      <c r="I11" s="733"/>
      <c r="J11" s="733"/>
      <c r="K11" s="733"/>
      <c r="L11" s="363"/>
      <c r="M11" s="363"/>
      <c r="N11" s="45"/>
    </row>
    <row r="12" spans="1:17" s="2" customFormat="1" ht="11.25" customHeight="1" x14ac:dyDescent="0.35">
      <c r="A12" s="36"/>
      <c r="B12" s="104"/>
      <c r="C12" s="104"/>
      <c r="D12" s="104"/>
      <c r="E12" s="104"/>
      <c r="F12" s="104"/>
      <c r="G12" s="104"/>
      <c r="H12" s="104"/>
      <c r="I12" s="104"/>
      <c r="J12" s="104"/>
      <c r="K12" s="104"/>
      <c r="L12" s="104"/>
      <c r="M12" s="104"/>
      <c r="N12" s="45"/>
    </row>
    <row r="13" spans="1:17" s="2" customFormat="1" ht="56.25" customHeight="1" x14ac:dyDescent="0.4">
      <c r="A13" s="36"/>
      <c r="B13" s="734" t="s">
        <v>731</v>
      </c>
      <c r="C13" s="735"/>
      <c r="D13" s="735"/>
      <c r="E13" s="735"/>
      <c r="F13" s="735"/>
      <c r="G13" s="735"/>
      <c r="H13" s="735"/>
      <c r="I13" s="735"/>
      <c r="J13" s="735"/>
      <c r="K13" s="735"/>
      <c r="L13" s="364"/>
      <c r="M13" s="364"/>
      <c r="N13" s="45"/>
      <c r="Q13" s="24"/>
    </row>
    <row r="14" spans="1:17" s="2" customFormat="1" ht="10.5" customHeight="1" x14ac:dyDescent="0.25">
      <c r="A14" s="105"/>
      <c r="B14" s="106"/>
      <c r="C14" s="106"/>
      <c r="D14" s="106"/>
      <c r="E14" s="106"/>
      <c r="F14" s="106"/>
      <c r="G14" s="106"/>
      <c r="H14" s="106"/>
      <c r="I14" s="106"/>
      <c r="J14" s="106"/>
      <c r="K14" s="106"/>
      <c r="L14" s="106"/>
      <c r="M14" s="106"/>
      <c r="N14" s="116"/>
      <c r="Q14" s="143"/>
    </row>
    <row r="15" spans="1:17" s="137" customFormat="1" ht="32.25" customHeight="1" x14ac:dyDescent="0.2">
      <c r="A15" s="133"/>
      <c r="B15" s="134"/>
      <c r="C15" s="135"/>
      <c r="D15" s="739" t="s">
        <v>700</v>
      </c>
      <c r="E15" s="740"/>
      <c r="F15" s="740"/>
      <c r="G15" s="740"/>
      <c r="H15" s="740"/>
      <c r="I15" s="741"/>
      <c r="J15" s="365"/>
      <c r="K15" s="365"/>
      <c r="L15" s="365"/>
      <c r="M15" s="365"/>
      <c r="N15" s="136"/>
      <c r="P15" s="137" t="s">
        <v>338</v>
      </c>
      <c r="Q15" s="144"/>
    </row>
    <row r="16" spans="1:17" s="142" customFormat="1" ht="42" customHeight="1" x14ac:dyDescent="0.2">
      <c r="A16" s="138"/>
      <c r="B16" s="139"/>
      <c r="C16" s="140"/>
      <c r="D16" s="736" t="s">
        <v>433</v>
      </c>
      <c r="E16" s="737"/>
      <c r="F16" s="737"/>
      <c r="G16" s="737"/>
      <c r="H16" s="737"/>
      <c r="I16" s="738"/>
      <c r="J16" s="366"/>
      <c r="K16" s="366"/>
      <c r="L16" s="366"/>
      <c r="M16" s="366"/>
      <c r="N16" s="141"/>
      <c r="Q16" s="145"/>
    </row>
    <row r="17" spans="1:14" s="2" customFormat="1" ht="11.25" customHeight="1" x14ac:dyDescent="0.2">
      <c r="A17" s="105"/>
      <c r="B17" s="95"/>
      <c r="C17" s="95"/>
      <c r="D17" s="95"/>
      <c r="E17" s="95"/>
      <c r="F17" s="95"/>
      <c r="G17" s="95"/>
      <c r="H17" s="95"/>
      <c r="I17" s="95"/>
      <c r="J17" s="95"/>
      <c r="K17" s="95"/>
      <c r="L17" s="95"/>
      <c r="M17" s="95"/>
      <c r="N17" s="116"/>
    </row>
    <row r="18" spans="1:14" s="2" customFormat="1" ht="15" customHeight="1" x14ac:dyDescent="0.25">
      <c r="A18" s="105"/>
      <c r="B18" s="95"/>
      <c r="C18" s="597" t="s">
        <v>732</v>
      </c>
      <c r="D18" s="106"/>
      <c r="E18" s="107"/>
      <c r="F18" s="95"/>
      <c r="G18" s="95"/>
      <c r="H18" s="95"/>
      <c r="I18" s="95"/>
      <c r="J18" s="95"/>
      <c r="K18" s="95"/>
      <c r="L18" s="95"/>
      <c r="M18" s="95"/>
      <c r="N18" s="116"/>
    </row>
    <row r="19" spans="1:14" s="2" customFormat="1" ht="5.25" customHeight="1" x14ac:dyDescent="0.2">
      <c r="A19" s="105"/>
      <c r="B19" s="95"/>
      <c r="C19" s="95"/>
      <c r="D19" s="95"/>
      <c r="E19" s="95"/>
      <c r="F19" s="95"/>
      <c r="G19" s="95"/>
      <c r="H19" s="95"/>
      <c r="I19" s="95"/>
      <c r="J19" s="95"/>
      <c r="K19" s="95"/>
      <c r="L19" s="95"/>
      <c r="M19" s="95"/>
      <c r="N19" s="116"/>
    </row>
    <row r="20" spans="1:14" s="2" customFormat="1" ht="15" customHeight="1" x14ac:dyDescent="0.25">
      <c r="A20" s="105"/>
      <c r="B20" s="95"/>
      <c r="C20" s="108" t="s">
        <v>320</v>
      </c>
      <c r="D20" s="95" t="s">
        <v>325</v>
      </c>
      <c r="E20" s="95"/>
      <c r="F20" s="95"/>
      <c r="G20" s="95"/>
      <c r="H20" s="95"/>
      <c r="I20" s="95"/>
      <c r="J20" s="95"/>
      <c r="K20" s="95"/>
      <c r="L20" s="95"/>
      <c r="M20" s="95"/>
      <c r="N20" s="116"/>
    </row>
    <row r="21" spans="1:14" s="2" customFormat="1" ht="15" customHeight="1" x14ac:dyDescent="0.2">
      <c r="A21" s="105"/>
      <c r="B21" s="95"/>
      <c r="C21" s="95"/>
      <c r="D21" s="209" t="s">
        <v>701</v>
      </c>
      <c r="E21" s="95"/>
      <c r="F21" s="95"/>
      <c r="G21" s="95"/>
      <c r="H21" s="95"/>
      <c r="I21" s="95"/>
      <c r="J21" s="95"/>
      <c r="K21" s="95"/>
      <c r="L21" s="95"/>
      <c r="M21" s="95"/>
      <c r="N21" s="116"/>
    </row>
    <row r="22" spans="1:14" s="2" customFormat="1" ht="9.75" customHeight="1" x14ac:dyDescent="0.2">
      <c r="A22" s="105"/>
      <c r="B22" s="95"/>
      <c r="C22" s="95"/>
      <c r="D22" s="95"/>
      <c r="E22" s="95"/>
      <c r="F22" s="95"/>
      <c r="G22" s="95"/>
      <c r="H22" s="95"/>
      <c r="I22" s="95"/>
      <c r="J22" s="95"/>
      <c r="K22" s="95"/>
      <c r="L22" s="95"/>
      <c r="M22" s="95"/>
      <c r="N22" s="116"/>
    </row>
    <row r="23" spans="1:14" s="2" customFormat="1" ht="18" customHeight="1" x14ac:dyDescent="0.3">
      <c r="A23" s="36"/>
      <c r="B23" s="729" t="s">
        <v>126</v>
      </c>
      <c r="C23" s="729"/>
      <c r="D23" s="729"/>
      <c r="E23" s="729"/>
      <c r="F23" s="729"/>
      <c r="G23" s="729"/>
      <c r="H23" s="729"/>
      <c r="I23" s="729"/>
      <c r="J23" s="729"/>
      <c r="K23" s="729"/>
      <c r="L23" s="367"/>
      <c r="M23" s="367"/>
      <c r="N23" s="45"/>
    </row>
    <row r="24" spans="1:14" s="2" customFormat="1" ht="8.25" customHeight="1" x14ac:dyDescent="0.4">
      <c r="A24" s="36"/>
      <c r="B24" s="107"/>
      <c r="C24" s="91"/>
      <c r="D24" s="91"/>
      <c r="E24" s="91"/>
      <c r="F24" s="91"/>
      <c r="G24" s="91"/>
      <c r="H24" s="91"/>
      <c r="I24" s="91"/>
      <c r="J24" s="91"/>
      <c r="K24" s="91"/>
      <c r="L24" s="91"/>
      <c r="M24" s="91"/>
      <c r="N24" s="45"/>
    </row>
    <row r="25" spans="1:14" s="2" customFormat="1" ht="8.25" customHeight="1" x14ac:dyDescent="0.4">
      <c r="A25" s="36"/>
      <c r="B25" s="107"/>
      <c r="C25" s="91"/>
      <c r="D25" s="91"/>
      <c r="E25" s="91"/>
      <c r="F25" s="91"/>
      <c r="G25" s="91"/>
      <c r="H25" s="91"/>
      <c r="I25" s="91"/>
      <c r="J25" s="91"/>
      <c r="K25" s="91"/>
      <c r="L25" s="91"/>
      <c r="M25" s="91"/>
      <c r="N25" s="45"/>
    </row>
    <row r="26" spans="1:14" s="2" customFormat="1" ht="18.75" customHeight="1" x14ac:dyDescent="0.4">
      <c r="A26" s="36"/>
      <c r="B26" s="598" t="s">
        <v>733</v>
      </c>
      <c r="C26" s="91"/>
      <c r="D26" s="91"/>
      <c r="E26" s="91"/>
      <c r="F26" s="91"/>
      <c r="G26" s="91"/>
      <c r="H26" s="91"/>
      <c r="I26" s="91"/>
      <c r="J26" s="91"/>
      <c r="K26" s="91"/>
      <c r="L26" s="91"/>
      <c r="M26" s="91"/>
      <c r="N26" s="45"/>
    </row>
    <row r="27" spans="1:14" s="2" customFormat="1" ht="21.75" customHeight="1" x14ac:dyDescent="0.4">
      <c r="A27" s="36"/>
      <c r="B27" s="597" t="s">
        <v>703</v>
      </c>
      <c r="C27" s="91"/>
      <c r="D27" s="91"/>
      <c r="E27" s="91"/>
      <c r="F27" s="91"/>
      <c r="G27" s="91"/>
      <c r="H27" s="91"/>
      <c r="I27" s="91"/>
      <c r="J27" s="91"/>
      <c r="K27" s="91"/>
      <c r="L27" s="91"/>
      <c r="M27" s="91"/>
      <c r="N27" s="45"/>
    </row>
    <row r="28" spans="1:14" ht="16.5" customHeight="1" x14ac:dyDescent="0.4">
      <c r="A28" s="36"/>
      <c r="B28" s="726"/>
      <c r="C28" s="717"/>
      <c r="D28" s="717"/>
      <c r="E28" s="717"/>
      <c r="F28" s="717"/>
      <c r="G28" s="717"/>
      <c r="H28" s="717"/>
      <c r="I28" s="717"/>
      <c r="J28" s="717"/>
      <c r="K28" s="717"/>
      <c r="L28" s="717"/>
      <c r="M28" s="91"/>
      <c r="N28" s="45"/>
    </row>
    <row r="29" spans="1:14" ht="16.5" customHeight="1" x14ac:dyDescent="0.4">
      <c r="A29" s="36"/>
      <c r="B29" s="726" t="s">
        <v>801</v>
      </c>
      <c r="C29" s="717"/>
      <c r="D29" s="717"/>
      <c r="E29" s="717"/>
      <c r="F29" s="717"/>
      <c r="G29" s="717"/>
      <c r="H29" s="717"/>
      <c r="I29" s="717"/>
      <c r="J29" s="717"/>
      <c r="K29" s="717"/>
      <c r="L29" s="717"/>
      <c r="M29" s="91"/>
      <c r="N29" s="45"/>
    </row>
    <row r="30" spans="1:14" ht="16.5" customHeight="1" x14ac:dyDescent="0.4">
      <c r="A30" s="36"/>
      <c r="B30" s="597"/>
      <c r="C30" s="597"/>
      <c r="D30" s="597"/>
      <c r="E30" s="597"/>
      <c r="F30" s="597"/>
      <c r="G30" s="597"/>
      <c r="H30" s="597"/>
      <c r="I30" s="597"/>
      <c r="J30" s="597"/>
      <c r="K30" s="597"/>
      <c r="L30" s="597"/>
      <c r="M30" s="91"/>
      <c r="N30" s="45"/>
    </row>
    <row r="31" spans="1:14" ht="16.5" customHeight="1" x14ac:dyDescent="0.4">
      <c r="A31" s="36"/>
      <c r="B31" s="597" t="s">
        <v>702</v>
      </c>
      <c r="C31" s="597"/>
      <c r="D31" s="597"/>
      <c r="E31" s="597"/>
      <c r="F31" s="597"/>
      <c r="G31" s="597"/>
      <c r="H31" s="597"/>
      <c r="I31" s="597"/>
      <c r="J31" s="597"/>
      <c r="K31" s="597"/>
      <c r="L31" s="597"/>
      <c r="M31" s="91"/>
      <c r="N31" s="45"/>
    </row>
    <row r="32" spans="1:14" ht="16.5" customHeight="1" x14ac:dyDescent="0.4">
      <c r="A32" s="36"/>
      <c r="B32" s="597"/>
      <c r="C32" s="597"/>
      <c r="D32" s="597"/>
      <c r="E32" s="597"/>
      <c r="F32" s="597"/>
      <c r="G32" s="597"/>
      <c r="H32" s="597"/>
      <c r="I32" s="597"/>
      <c r="J32" s="597"/>
      <c r="K32" s="597"/>
      <c r="L32" s="597"/>
      <c r="M32" s="91"/>
      <c r="N32" s="45"/>
    </row>
    <row r="33" spans="1:14" s="383" customFormat="1" ht="16.5" customHeight="1" x14ac:dyDescent="0.4">
      <c r="A33" s="36"/>
      <c r="B33" s="597" t="s">
        <v>734</v>
      </c>
      <c r="C33" s="597"/>
      <c r="D33" s="597"/>
      <c r="E33" s="597"/>
      <c r="F33" s="597"/>
      <c r="G33" s="597"/>
      <c r="H33" s="597"/>
      <c r="I33" s="597"/>
      <c r="J33" s="597"/>
      <c r="K33" s="597"/>
      <c r="L33" s="597"/>
      <c r="M33" s="91"/>
      <c r="N33" s="449"/>
    </row>
    <row r="34" spans="1:14" ht="16.5" customHeight="1" x14ac:dyDescent="0.4">
      <c r="A34" s="36"/>
      <c r="B34" s="597" t="s">
        <v>735</v>
      </c>
      <c r="C34" s="597"/>
      <c r="D34" s="597"/>
      <c r="E34" s="597"/>
      <c r="F34" s="597"/>
      <c r="G34" s="597"/>
      <c r="H34" s="597"/>
      <c r="I34" s="597"/>
      <c r="J34" s="597"/>
      <c r="K34" s="597"/>
      <c r="L34" s="597"/>
      <c r="M34" s="91"/>
      <c r="N34" s="45"/>
    </row>
    <row r="35" spans="1:14" ht="16.5" customHeight="1" x14ac:dyDescent="0.4">
      <c r="A35" s="448"/>
      <c r="B35" s="597"/>
      <c r="C35" s="107"/>
      <c r="D35" s="107"/>
      <c r="E35" s="107"/>
      <c r="F35" s="107"/>
      <c r="G35" s="107"/>
      <c r="H35" s="107"/>
      <c r="I35" s="107"/>
      <c r="J35" s="107"/>
      <c r="K35" s="107"/>
      <c r="L35" s="107"/>
      <c r="M35" s="91"/>
      <c r="N35" s="45"/>
    </row>
    <row r="36" spans="1:14" ht="16.5" customHeight="1" x14ac:dyDescent="0.4">
      <c r="A36" s="36"/>
      <c r="B36" s="727" t="s">
        <v>479</v>
      </c>
      <c r="C36" s="717"/>
      <c r="D36" s="717"/>
      <c r="E36" s="717"/>
      <c r="F36" s="717"/>
      <c r="G36" s="717"/>
      <c r="H36" s="717"/>
      <c r="I36" s="717"/>
      <c r="J36" s="717"/>
      <c r="K36" s="717"/>
      <c r="L36" s="717"/>
      <c r="M36" s="91"/>
      <c r="N36" s="45"/>
    </row>
    <row r="37" spans="1:14" ht="18" customHeight="1" x14ac:dyDescent="0.4">
      <c r="A37" s="36"/>
      <c r="B37" s="728" t="s">
        <v>480</v>
      </c>
      <c r="C37" s="717"/>
      <c r="D37" s="717"/>
      <c r="E37" s="717"/>
      <c r="F37" s="717"/>
      <c r="G37" s="717"/>
      <c r="H37" s="717"/>
      <c r="I37" s="717"/>
      <c r="J37" s="717"/>
      <c r="K37" s="717"/>
      <c r="L37" s="717"/>
      <c r="M37" s="91"/>
      <c r="N37" s="45"/>
    </row>
    <row r="38" spans="1:14" s="447" customFormat="1" ht="16.5" customHeight="1" x14ac:dyDescent="0.4">
      <c r="A38" s="36"/>
      <c r="B38" s="728" t="s">
        <v>525</v>
      </c>
      <c r="C38" s="717"/>
      <c r="D38" s="717"/>
      <c r="E38" s="717"/>
      <c r="F38" s="717"/>
      <c r="G38" s="717"/>
      <c r="H38" s="717"/>
      <c r="I38" s="717"/>
      <c r="J38" s="717"/>
      <c r="K38" s="717"/>
      <c r="L38" s="717"/>
      <c r="M38" s="445"/>
      <c r="N38" s="446"/>
    </row>
    <row r="39" spans="1:14" ht="8.25" customHeight="1" x14ac:dyDescent="0.4">
      <c r="A39" s="36"/>
      <c r="B39" s="123"/>
      <c r="C39" s="91"/>
      <c r="D39" s="91"/>
      <c r="E39" s="91"/>
      <c r="F39" s="91"/>
      <c r="G39" s="91"/>
      <c r="H39" s="91"/>
      <c r="I39" s="91"/>
      <c r="J39" s="91"/>
      <c r="K39" s="91"/>
      <c r="L39" s="91"/>
      <c r="M39" s="91"/>
      <c r="N39" s="45"/>
    </row>
    <row r="40" spans="1:14" s="2" customFormat="1" ht="15.6" customHeight="1" x14ac:dyDescent="0.25">
      <c r="A40" s="444"/>
      <c r="B40" s="716" t="s">
        <v>481</v>
      </c>
      <c r="C40" s="717"/>
      <c r="D40" s="717"/>
      <c r="E40" s="717"/>
      <c r="F40" s="717"/>
      <c r="G40" s="717"/>
      <c r="H40" s="717"/>
      <c r="I40" s="717"/>
      <c r="J40" s="717"/>
      <c r="K40" s="717"/>
      <c r="L40" s="717"/>
      <c r="M40" s="106"/>
      <c r="N40" s="116"/>
    </row>
    <row r="41" spans="1:14" s="2" customFormat="1" ht="16.5" customHeight="1" x14ac:dyDescent="0.4">
      <c r="A41" s="36"/>
      <c r="B41" s="726" t="s">
        <v>513</v>
      </c>
      <c r="C41" s="717"/>
      <c r="D41" s="717"/>
      <c r="E41" s="717"/>
      <c r="F41" s="717"/>
      <c r="G41" s="717"/>
      <c r="H41" s="717"/>
      <c r="I41" s="717"/>
      <c r="J41" s="717"/>
      <c r="K41" s="717"/>
      <c r="L41" s="717"/>
      <c r="M41" s="91"/>
      <c r="N41" s="45"/>
    </row>
    <row r="42" spans="1:14" s="2" customFormat="1" ht="26.25" customHeight="1" x14ac:dyDescent="0.25">
      <c r="A42" s="105"/>
      <c r="B42" s="716" t="s">
        <v>478</v>
      </c>
      <c r="C42" s="717"/>
      <c r="D42" s="717"/>
      <c r="E42" s="717"/>
      <c r="F42" s="717"/>
      <c r="G42" s="717"/>
      <c r="H42" s="717"/>
      <c r="I42" s="717"/>
      <c r="J42" s="717"/>
      <c r="K42" s="717"/>
      <c r="L42" s="717"/>
      <c r="M42" s="109"/>
      <c r="N42" s="45"/>
    </row>
    <row r="43" spans="1:14" s="2" customFormat="1" ht="23.25" customHeight="1" x14ac:dyDescent="0.25">
      <c r="A43" s="36"/>
      <c r="B43" s="93" t="s">
        <v>321</v>
      </c>
      <c r="C43" s="724" t="s">
        <v>482</v>
      </c>
      <c r="D43" s="724"/>
      <c r="E43" s="724"/>
      <c r="F43" s="724"/>
      <c r="G43" s="724"/>
      <c r="H43" s="724"/>
      <c r="I43" s="724"/>
      <c r="J43" s="724"/>
      <c r="K43" s="724"/>
      <c r="L43" s="724"/>
      <c r="M43" s="196"/>
      <c r="N43" s="45"/>
    </row>
    <row r="44" spans="1:14" s="2" customFormat="1" ht="16.5" customHeight="1" x14ac:dyDescent="0.25">
      <c r="A44" s="36"/>
      <c r="B44" s="84"/>
      <c r="C44" s="96"/>
      <c r="D44" s="716" t="s">
        <v>736</v>
      </c>
      <c r="E44" s="719"/>
      <c r="F44" s="719"/>
      <c r="G44" s="719"/>
      <c r="H44" s="719"/>
      <c r="I44" s="719"/>
      <c r="J44" s="719"/>
      <c r="K44" s="719"/>
      <c r="L44" s="719"/>
      <c r="M44" s="96"/>
      <c r="N44" s="45"/>
    </row>
    <row r="45" spans="1:14" s="2" customFormat="1" ht="16.5" customHeight="1" x14ac:dyDescent="0.25">
      <c r="A45" s="36"/>
      <c r="B45" s="84"/>
      <c r="C45" s="96"/>
      <c r="D45" s="716" t="s">
        <v>737</v>
      </c>
      <c r="E45" s="719"/>
      <c r="F45" s="719"/>
      <c r="G45" s="719"/>
      <c r="H45" s="719"/>
      <c r="I45" s="719"/>
      <c r="J45" s="719"/>
      <c r="K45" s="719"/>
      <c r="L45" s="719"/>
      <c r="M45" s="96"/>
      <c r="N45" s="45"/>
    </row>
    <row r="46" spans="1:14" s="2" customFormat="1" ht="26.25" customHeight="1" x14ac:dyDescent="0.25">
      <c r="A46" s="36"/>
      <c r="B46" s="93" t="s">
        <v>321</v>
      </c>
      <c r="C46" s="724" t="s">
        <v>739</v>
      </c>
      <c r="D46" s="725"/>
      <c r="E46" s="725"/>
      <c r="F46" s="725"/>
      <c r="G46" s="725"/>
      <c r="H46" s="725"/>
      <c r="I46" s="725"/>
      <c r="J46" s="725"/>
      <c r="K46" s="725"/>
      <c r="L46" s="725"/>
      <c r="M46" s="197"/>
      <c r="N46" s="45"/>
    </row>
    <row r="47" spans="1:14" s="2" customFormat="1" ht="15.75" customHeight="1" x14ac:dyDescent="0.2">
      <c r="A47" s="36"/>
      <c r="B47" s="95"/>
      <c r="C47" s="96"/>
      <c r="D47" s="723" t="s">
        <v>704</v>
      </c>
      <c r="E47" s="719"/>
      <c r="F47" s="719"/>
      <c r="G47" s="719"/>
      <c r="H47" s="719"/>
      <c r="I47" s="719"/>
      <c r="J47" s="719"/>
      <c r="K47" s="719"/>
      <c r="L47" s="719"/>
      <c r="M47" s="96"/>
      <c r="N47" s="45"/>
    </row>
    <row r="48" spans="1:14" s="2" customFormat="1" ht="26.25" customHeight="1" x14ac:dyDescent="0.25">
      <c r="A48" s="36"/>
      <c r="B48" s="111" t="s">
        <v>322</v>
      </c>
      <c r="C48" s="724" t="s">
        <v>740</v>
      </c>
      <c r="D48" s="725"/>
      <c r="E48" s="725"/>
      <c r="F48" s="725"/>
      <c r="G48" s="725"/>
      <c r="H48" s="725"/>
      <c r="I48" s="725"/>
      <c r="J48" s="725"/>
      <c r="K48" s="725"/>
      <c r="L48" s="725"/>
      <c r="M48" s="197"/>
      <c r="N48" s="45"/>
    </row>
    <row r="49" spans="1:23" s="2" customFormat="1" ht="16.5" customHeight="1" x14ac:dyDescent="0.2">
      <c r="A49" s="36"/>
      <c r="B49" s="95"/>
      <c r="C49" s="110"/>
      <c r="D49" s="716" t="s">
        <v>705</v>
      </c>
      <c r="E49" s="719"/>
      <c r="F49" s="719"/>
      <c r="G49" s="719"/>
      <c r="H49" s="719"/>
      <c r="I49" s="719"/>
      <c r="J49" s="719"/>
      <c r="K49" s="719"/>
      <c r="L49" s="719"/>
      <c r="M49" s="96"/>
      <c r="N49" s="45"/>
    </row>
    <row r="50" spans="1:23" s="2" customFormat="1" ht="26.25" customHeight="1" x14ac:dyDescent="0.25">
      <c r="A50" s="36"/>
      <c r="B50" s="111" t="s">
        <v>322</v>
      </c>
      <c r="C50" s="724" t="s">
        <v>853</v>
      </c>
      <c r="D50" s="725"/>
      <c r="E50" s="725"/>
      <c r="F50" s="725"/>
      <c r="G50" s="725"/>
      <c r="H50" s="725"/>
      <c r="I50" s="725"/>
      <c r="J50" s="725"/>
      <c r="K50" s="725"/>
      <c r="L50" s="725"/>
      <c r="M50" s="197"/>
      <c r="N50" s="204"/>
      <c r="O50" s="199"/>
      <c r="P50" s="199"/>
      <c r="Q50" s="199"/>
      <c r="R50" s="199"/>
      <c r="S50" s="199"/>
      <c r="T50" s="199"/>
      <c r="U50" s="199"/>
      <c r="V50" s="199"/>
      <c r="W50" s="200"/>
    </row>
    <row r="51" spans="1:23" s="2" customFormat="1" ht="16.5" customHeight="1" x14ac:dyDescent="0.2">
      <c r="A51" s="36"/>
      <c r="B51" s="95"/>
      <c r="C51" s="110"/>
      <c r="D51" s="716" t="s">
        <v>738</v>
      </c>
      <c r="E51" s="719"/>
      <c r="F51" s="719"/>
      <c r="G51" s="719"/>
      <c r="H51" s="719"/>
      <c r="I51" s="719"/>
      <c r="J51" s="719"/>
      <c r="K51" s="719"/>
      <c r="L51" s="719"/>
      <c r="M51" s="96"/>
      <c r="N51" s="205"/>
      <c r="O51" s="201"/>
      <c r="P51" s="201"/>
      <c r="Q51" s="201"/>
      <c r="R51" s="201"/>
      <c r="S51" s="201"/>
      <c r="T51" s="201"/>
      <c r="U51" s="201"/>
      <c r="V51" s="201"/>
      <c r="W51" s="201"/>
    </row>
    <row r="52" spans="1:23" s="2" customFormat="1" ht="26.25" customHeight="1" x14ac:dyDescent="0.25">
      <c r="A52" s="36"/>
      <c r="B52" s="111" t="s">
        <v>322</v>
      </c>
      <c r="C52" s="724" t="s">
        <v>741</v>
      </c>
      <c r="D52" s="725"/>
      <c r="E52" s="725"/>
      <c r="F52" s="725"/>
      <c r="G52" s="725"/>
      <c r="H52" s="725"/>
      <c r="I52" s="725"/>
      <c r="J52" s="725"/>
      <c r="K52" s="725"/>
      <c r="L52" s="725"/>
      <c r="M52" s="197"/>
      <c r="N52" s="204"/>
      <c r="O52" s="199"/>
      <c r="P52" s="199"/>
      <c r="Q52" s="199"/>
      <c r="R52" s="199"/>
      <c r="S52" s="199"/>
      <c r="T52" s="199"/>
      <c r="U52" s="199"/>
      <c r="V52" s="199"/>
      <c r="W52" s="202"/>
    </row>
    <row r="53" spans="1:23" s="2" customFormat="1" ht="16.5" customHeight="1" x14ac:dyDescent="0.2">
      <c r="A53" s="36"/>
      <c r="B53" s="95"/>
      <c r="C53" s="96"/>
      <c r="D53" s="716" t="s">
        <v>483</v>
      </c>
      <c r="E53" s="719"/>
      <c r="F53" s="719"/>
      <c r="G53" s="719"/>
      <c r="H53" s="719"/>
      <c r="I53" s="719"/>
      <c r="J53" s="719"/>
      <c r="K53" s="719"/>
      <c r="L53" s="719"/>
      <c r="M53" s="96"/>
      <c r="N53" s="206"/>
      <c r="O53" s="201"/>
      <c r="P53" s="201"/>
      <c r="Q53" s="201"/>
      <c r="R53" s="201"/>
      <c r="S53" s="201"/>
      <c r="T53" s="201"/>
      <c r="U53" s="201"/>
      <c r="V53" s="201"/>
      <c r="W53" s="202"/>
    </row>
    <row r="54" spans="1:23" s="2" customFormat="1" ht="25.5" customHeight="1" x14ac:dyDescent="0.25">
      <c r="A54" s="36"/>
      <c r="B54" s="111" t="s">
        <v>322</v>
      </c>
      <c r="C54" s="724" t="s">
        <v>854</v>
      </c>
      <c r="D54" s="725"/>
      <c r="E54" s="725"/>
      <c r="F54" s="725"/>
      <c r="G54" s="725"/>
      <c r="H54" s="725"/>
      <c r="I54" s="725"/>
      <c r="J54" s="725"/>
      <c r="K54" s="725"/>
      <c r="L54" s="725"/>
      <c r="M54" s="197"/>
      <c r="N54" s="203"/>
      <c r="O54" s="202"/>
      <c r="P54" s="202"/>
      <c r="Q54" s="202"/>
      <c r="R54" s="202"/>
      <c r="S54" s="202"/>
      <c r="T54" s="202"/>
      <c r="U54" s="202"/>
      <c r="V54" s="202"/>
      <c r="W54" s="202"/>
    </row>
    <row r="55" spans="1:23" s="2" customFormat="1" ht="16.5" customHeight="1" x14ac:dyDescent="0.2">
      <c r="A55" s="36"/>
      <c r="B55" s="95"/>
      <c r="C55" s="96"/>
      <c r="D55" s="716" t="s">
        <v>855</v>
      </c>
      <c r="E55" s="719"/>
      <c r="F55" s="719"/>
      <c r="G55" s="719"/>
      <c r="H55" s="719"/>
      <c r="I55" s="719"/>
      <c r="J55" s="719"/>
      <c r="K55" s="719"/>
      <c r="L55" s="719"/>
      <c r="M55" s="96"/>
      <c r="N55" s="203"/>
      <c r="O55" s="194"/>
      <c r="P55" s="194"/>
      <c r="Q55" s="194"/>
      <c r="R55" s="194"/>
      <c r="S55" s="194"/>
      <c r="T55" s="194"/>
      <c r="U55" s="194"/>
      <c r="V55" s="194"/>
      <c r="W55" s="194"/>
    </row>
    <row r="56" spans="1:23" s="2" customFormat="1" ht="16.5" customHeight="1" x14ac:dyDescent="0.2">
      <c r="A56" s="36"/>
      <c r="B56" s="95"/>
      <c r="C56" s="96"/>
      <c r="D56" s="716" t="s">
        <v>484</v>
      </c>
      <c r="E56" s="719"/>
      <c r="F56" s="719"/>
      <c r="G56" s="719"/>
      <c r="H56" s="719"/>
      <c r="I56" s="719"/>
      <c r="J56" s="719"/>
      <c r="K56" s="719"/>
      <c r="L56" s="719"/>
      <c r="M56" s="96"/>
      <c r="N56" s="45"/>
    </row>
    <row r="57" spans="1:23" s="2" customFormat="1" ht="21" customHeight="1" x14ac:dyDescent="0.25">
      <c r="A57" s="36"/>
      <c r="B57" s="111" t="s">
        <v>322</v>
      </c>
      <c r="C57" s="724" t="s">
        <v>485</v>
      </c>
      <c r="D57" s="717"/>
      <c r="E57" s="717"/>
      <c r="F57" s="717"/>
      <c r="G57" s="717"/>
      <c r="H57" s="717"/>
      <c r="I57" s="717"/>
      <c r="J57" s="717"/>
      <c r="K57" s="717"/>
      <c r="L57" s="717"/>
      <c r="M57" s="210"/>
      <c r="N57" s="203"/>
    </row>
    <row r="58" spans="1:23" s="2" customFormat="1" ht="16.5" customHeight="1" x14ac:dyDescent="0.2">
      <c r="A58" s="36"/>
      <c r="B58" s="95"/>
      <c r="C58" s="96"/>
      <c r="D58" s="716" t="s">
        <v>486</v>
      </c>
      <c r="E58" s="719"/>
      <c r="F58" s="719"/>
      <c r="G58" s="719"/>
      <c r="H58" s="719"/>
      <c r="I58" s="719"/>
      <c r="J58" s="719"/>
      <c r="K58" s="719"/>
      <c r="L58" s="719"/>
      <c r="M58" s="96"/>
      <c r="N58" s="45"/>
    </row>
    <row r="59" spans="1:23" s="2" customFormat="1" ht="18.75" customHeight="1" x14ac:dyDescent="0.25">
      <c r="A59" s="36"/>
      <c r="B59" s="111" t="s">
        <v>322</v>
      </c>
      <c r="C59" s="724" t="s">
        <v>706</v>
      </c>
      <c r="D59" s="717"/>
      <c r="E59" s="717"/>
      <c r="F59" s="717"/>
      <c r="G59" s="717"/>
      <c r="H59" s="717"/>
      <c r="I59" s="717"/>
      <c r="J59" s="717"/>
      <c r="K59" s="717"/>
      <c r="L59" s="717"/>
      <c r="M59" s="96"/>
      <c r="N59" s="45"/>
    </row>
    <row r="60" spans="1:23" s="2" customFormat="1" ht="16.5" customHeight="1" x14ac:dyDescent="0.25">
      <c r="A60" s="36"/>
      <c r="B60" s="111"/>
      <c r="C60" s="196"/>
      <c r="D60" s="380" t="s">
        <v>707</v>
      </c>
      <c r="E60" s="196"/>
      <c r="F60" s="196"/>
      <c r="G60" s="196"/>
      <c r="H60" s="196"/>
      <c r="I60" s="196"/>
      <c r="J60" s="196"/>
      <c r="K60" s="196"/>
      <c r="L60" s="196"/>
      <c r="M60" s="96"/>
      <c r="N60" s="45"/>
    </row>
    <row r="61" spans="1:23" s="2" customFormat="1" ht="21.75" customHeight="1" x14ac:dyDescent="0.2">
      <c r="A61" s="36"/>
      <c r="B61" s="716" t="s">
        <v>487</v>
      </c>
      <c r="C61" s="717"/>
      <c r="D61" s="717"/>
      <c r="E61" s="717"/>
      <c r="F61" s="717"/>
      <c r="G61" s="717"/>
      <c r="H61" s="717"/>
      <c r="I61" s="717"/>
      <c r="J61" s="717"/>
      <c r="K61" s="717"/>
      <c r="L61" s="717"/>
      <c r="M61" s="96"/>
      <c r="N61" s="45"/>
    </row>
    <row r="62" spans="1:23" s="2" customFormat="1" ht="14.25" customHeight="1" x14ac:dyDescent="0.2">
      <c r="A62" s="36"/>
      <c r="B62" s="368"/>
      <c r="C62" s="122"/>
      <c r="D62" s="97"/>
      <c r="E62" s="97"/>
      <c r="F62" s="97"/>
      <c r="G62" s="97"/>
      <c r="H62" s="97"/>
      <c r="I62" s="97"/>
      <c r="J62" s="97"/>
      <c r="K62" s="97"/>
      <c r="L62" s="97"/>
      <c r="M62" s="97"/>
      <c r="N62" s="88"/>
    </row>
    <row r="63" spans="1:23" s="2" customFormat="1" ht="10.5" customHeight="1" x14ac:dyDescent="0.2">
      <c r="A63" s="36"/>
      <c r="B63" s="369"/>
      <c r="C63" s="146"/>
      <c r="D63" s="99"/>
      <c r="E63" s="99"/>
      <c r="F63" s="99"/>
      <c r="G63" s="99"/>
      <c r="H63" s="99"/>
      <c r="I63" s="99"/>
      <c r="J63" s="99"/>
      <c r="K63" s="99"/>
      <c r="L63" s="99"/>
      <c r="M63" s="99"/>
      <c r="N63" s="71"/>
    </row>
    <row r="64" spans="1:23" s="2" customFormat="1" ht="20.25" x14ac:dyDescent="0.3">
      <c r="A64" s="38"/>
      <c r="B64" s="187" t="s">
        <v>5</v>
      </c>
      <c r="C64" s="110"/>
      <c r="D64" s="42"/>
      <c r="E64" s="96"/>
      <c r="F64" s="96"/>
      <c r="G64" s="96"/>
      <c r="H64" s="96"/>
      <c r="I64" s="96"/>
      <c r="J64" s="96"/>
      <c r="K64" s="96"/>
      <c r="L64" s="96"/>
      <c r="M64" s="96"/>
      <c r="N64" s="45"/>
      <c r="O64" s="24"/>
      <c r="P64" s="24"/>
      <c r="Q64" s="24"/>
    </row>
    <row r="65" spans="1:14" s="2" customFormat="1" ht="5.25" customHeight="1" x14ac:dyDescent="0.2">
      <c r="A65" s="36"/>
      <c r="B65" s="111"/>
      <c r="C65" s="95"/>
      <c r="D65" s="96"/>
      <c r="E65" s="96"/>
      <c r="F65" s="96"/>
      <c r="G65" s="96"/>
      <c r="H65" s="96"/>
      <c r="I65" s="96"/>
      <c r="J65" s="96"/>
      <c r="K65" s="96"/>
      <c r="L65" s="96"/>
      <c r="M65" s="96"/>
      <c r="N65" s="45"/>
    </row>
    <row r="66" spans="1:14" s="2" customFormat="1" ht="15.75" customHeight="1" x14ac:dyDescent="0.2">
      <c r="A66" s="36"/>
      <c r="B66" s="111" t="s">
        <v>322</v>
      </c>
      <c r="C66" s="716" t="s">
        <v>761</v>
      </c>
      <c r="D66" s="717"/>
      <c r="E66" s="717"/>
      <c r="F66" s="717"/>
      <c r="G66" s="717"/>
      <c r="H66" s="717"/>
      <c r="I66" s="717"/>
      <c r="J66" s="717"/>
      <c r="K66" s="717"/>
      <c r="L66" s="717"/>
      <c r="M66" s="96"/>
      <c r="N66" s="45"/>
    </row>
    <row r="67" spans="1:14" s="2" customFormat="1" ht="15.75" customHeight="1" x14ac:dyDescent="0.2">
      <c r="A67" s="36"/>
      <c r="B67" s="111"/>
      <c r="C67" s="209"/>
      <c r="D67" s="209"/>
      <c r="E67" s="209"/>
      <c r="F67" s="209"/>
      <c r="G67" s="209"/>
      <c r="H67" s="209"/>
      <c r="I67" s="209"/>
      <c r="J67" s="209"/>
      <c r="K67" s="209"/>
      <c r="L67" s="209"/>
      <c r="M67" s="96"/>
      <c r="N67" s="45"/>
    </row>
    <row r="68" spans="1:14" s="2" customFormat="1" ht="15.75" customHeight="1" x14ac:dyDescent="0.2">
      <c r="A68" s="36"/>
      <c r="B68" s="111" t="s">
        <v>322</v>
      </c>
      <c r="C68" s="716" t="s">
        <v>762</v>
      </c>
      <c r="D68" s="717"/>
      <c r="E68" s="717"/>
      <c r="F68" s="717"/>
      <c r="G68" s="717"/>
      <c r="H68" s="717"/>
      <c r="I68" s="717"/>
      <c r="J68" s="717"/>
      <c r="K68" s="717"/>
      <c r="L68" s="717"/>
      <c r="M68" s="96"/>
      <c r="N68" s="45"/>
    </row>
    <row r="69" spans="1:14" s="2" customFormat="1" ht="15.75" customHeight="1" x14ac:dyDescent="0.2">
      <c r="A69" s="36"/>
      <c r="B69" s="111"/>
      <c r="C69" s="209"/>
      <c r="D69" s="209"/>
      <c r="E69" s="209"/>
      <c r="F69" s="209"/>
      <c r="G69" s="209"/>
      <c r="H69" s="209"/>
      <c r="I69" s="209"/>
      <c r="J69" s="209"/>
      <c r="K69" s="209"/>
      <c r="L69" s="209"/>
      <c r="M69" s="96"/>
      <c r="N69" s="45"/>
    </row>
    <row r="70" spans="1:14" s="2" customFormat="1" ht="15.75" customHeight="1" x14ac:dyDescent="0.2">
      <c r="A70" s="36"/>
      <c r="B70" s="111" t="s">
        <v>322</v>
      </c>
      <c r="C70" s="716" t="s">
        <v>769</v>
      </c>
      <c r="D70" s="716"/>
      <c r="E70" s="716"/>
      <c r="F70" s="716"/>
      <c r="G70" s="716"/>
      <c r="H70" s="716"/>
      <c r="I70" s="716"/>
      <c r="J70" s="716"/>
      <c r="K70" s="716"/>
      <c r="L70" s="716"/>
      <c r="M70" s="96"/>
      <c r="N70" s="45"/>
    </row>
    <row r="71" spans="1:14" s="2" customFormat="1" ht="15.75" customHeight="1" x14ac:dyDescent="0.2">
      <c r="A71" s="36"/>
      <c r="B71" s="111"/>
      <c r="C71" s="209"/>
      <c r="D71" s="209"/>
      <c r="E71" s="209"/>
      <c r="F71" s="209"/>
      <c r="G71" s="209"/>
      <c r="H71" s="209"/>
      <c r="I71" s="209"/>
      <c r="J71" s="209"/>
      <c r="K71" s="209"/>
      <c r="L71" s="209"/>
      <c r="M71" s="96"/>
      <c r="N71" s="45"/>
    </row>
    <row r="72" spans="1:14" s="2" customFormat="1" ht="15.75" customHeight="1" x14ac:dyDescent="0.2">
      <c r="A72" s="36"/>
      <c r="B72" s="111" t="s">
        <v>322</v>
      </c>
      <c r="C72" s="716" t="s">
        <v>763</v>
      </c>
      <c r="D72" s="717"/>
      <c r="E72" s="717"/>
      <c r="F72" s="717"/>
      <c r="G72" s="717"/>
      <c r="H72" s="717"/>
      <c r="I72" s="717"/>
      <c r="J72" s="717"/>
      <c r="K72" s="717"/>
      <c r="L72" s="717"/>
      <c r="M72" s="96"/>
      <c r="N72" s="45"/>
    </row>
    <row r="73" spans="1:14" s="2" customFormat="1" ht="15.75" customHeight="1" x14ac:dyDescent="0.2">
      <c r="A73" s="36"/>
      <c r="B73" s="111"/>
      <c r="C73" s="209"/>
      <c r="D73" s="209"/>
      <c r="E73" s="209"/>
      <c r="F73" s="209"/>
      <c r="G73" s="209"/>
      <c r="H73" s="209"/>
      <c r="I73" s="209"/>
      <c r="J73" s="209"/>
      <c r="K73" s="209"/>
      <c r="L73" s="209"/>
      <c r="M73" s="96"/>
      <c r="N73" s="45"/>
    </row>
    <row r="74" spans="1:14" s="2" customFormat="1" ht="15.75" customHeight="1" x14ac:dyDescent="0.2">
      <c r="A74" s="36"/>
      <c r="B74" s="111" t="s">
        <v>322</v>
      </c>
      <c r="C74" s="716" t="s">
        <v>764</v>
      </c>
      <c r="D74" s="717"/>
      <c r="E74" s="717"/>
      <c r="F74" s="717"/>
      <c r="G74" s="717"/>
      <c r="H74" s="717"/>
      <c r="I74" s="717"/>
      <c r="J74" s="717"/>
      <c r="K74" s="717"/>
      <c r="L74" s="717"/>
      <c r="M74" s="96"/>
      <c r="N74" s="45"/>
    </row>
    <row r="75" spans="1:14" s="2" customFormat="1" ht="15.75" customHeight="1" x14ac:dyDescent="0.2">
      <c r="A75" s="209"/>
      <c r="B75" s="111"/>
      <c r="C75" s="209"/>
      <c r="D75" s="209"/>
      <c r="E75" s="209"/>
      <c r="F75" s="209"/>
      <c r="G75" s="209"/>
      <c r="H75" s="209"/>
      <c r="I75" s="209"/>
      <c r="J75" s="209"/>
      <c r="K75" s="209"/>
      <c r="L75" s="209"/>
      <c r="M75" s="96"/>
      <c r="N75" s="45"/>
    </row>
    <row r="76" spans="1:14" s="2" customFormat="1" ht="18" customHeight="1" x14ac:dyDescent="0.2">
      <c r="A76" s="36"/>
      <c r="B76" s="111" t="s">
        <v>322</v>
      </c>
      <c r="C76" s="716" t="s">
        <v>765</v>
      </c>
      <c r="D76" s="717"/>
      <c r="E76" s="717"/>
      <c r="F76" s="717"/>
      <c r="G76" s="717"/>
      <c r="H76" s="717"/>
      <c r="I76" s="717"/>
      <c r="J76" s="717"/>
      <c r="K76" s="717"/>
      <c r="L76" s="717"/>
      <c r="M76" s="96"/>
      <c r="N76" s="45"/>
    </row>
    <row r="77" spans="1:14" s="2" customFormat="1" ht="20.25" customHeight="1" x14ac:dyDescent="0.2">
      <c r="A77" s="36"/>
      <c r="B77" s="162"/>
      <c r="C77" s="111" t="s">
        <v>323</v>
      </c>
      <c r="D77" s="716" t="s">
        <v>488</v>
      </c>
      <c r="E77" s="719"/>
      <c r="F77" s="719"/>
      <c r="G77" s="719"/>
      <c r="H77" s="719"/>
      <c r="I77" s="719"/>
      <c r="J77" s="719"/>
      <c r="K77" s="719"/>
      <c r="L77" s="719"/>
      <c r="M77" s="96"/>
      <c r="N77" s="45"/>
    </row>
    <row r="78" spans="1:14" s="2" customFormat="1" ht="15" x14ac:dyDescent="0.2">
      <c r="A78" s="36"/>
      <c r="B78" s="162"/>
      <c r="C78" s="111"/>
      <c r="D78" s="716" t="s">
        <v>766</v>
      </c>
      <c r="E78" s="719"/>
      <c r="F78" s="719"/>
      <c r="G78" s="719"/>
      <c r="H78" s="719"/>
      <c r="I78" s="719"/>
      <c r="J78" s="719"/>
      <c r="K78" s="719"/>
      <c r="L78" s="719"/>
      <c r="M78" s="96"/>
      <c r="N78" s="45"/>
    </row>
    <row r="79" spans="1:14" s="2" customFormat="1" ht="15" x14ac:dyDescent="0.2">
      <c r="A79" s="36"/>
      <c r="B79" s="162"/>
      <c r="C79" s="111" t="s">
        <v>323</v>
      </c>
      <c r="D79" s="209" t="s">
        <v>879</v>
      </c>
      <c r="E79" s="95"/>
      <c r="F79" s="95"/>
      <c r="G79" s="95"/>
      <c r="H79" s="95"/>
      <c r="I79" s="95"/>
      <c r="J79" s="95"/>
      <c r="K79" s="95"/>
      <c r="L79" s="95"/>
      <c r="M79" s="96"/>
      <c r="N79" s="45"/>
    </row>
    <row r="80" spans="1:14" s="2" customFormat="1" ht="15" x14ac:dyDescent="0.2">
      <c r="A80" s="36"/>
      <c r="B80" s="162"/>
      <c r="C80" s="111"/>
      <c r="D80" s="209"/>
      <c r="E80" s="95"/>
      <c r="F80" s="95"/>
      <c r="G80" s="95"/>
      <c r="H80" s="95"/>
      <c r="I80" s="95"/>
      <c r="J80" s="95"/>
      <c r="K80" s="95"/>
      <c r="L80" s="95"/>
      <c r="M80" s="96"/>
      <c r="N80" s="45"/>
    </row>
    <row r="81" spans="1:14" s="2" customFormat="1" ht="15" x14ac:dyDescent="0.2">
      <c r="A81" s="36"/>
      <c r="B81" s="111" t="s">
        <v>322</v>
      </c>
      <c r="C81" s="716" t="s">
        <v>767</v>
      </c>
      <c r="D81" s="716"/>
      <c r="E81" s="716"/>
      <c r="F81" s="716"/>
      <c r="G81" s="716"/>
      <c r="H81" s="716"/>
      <c r="I81" s="716"/>
      <c r="J81" s="716"/>
      <c r="K81" s="716"/>
      <c r="L81" s="716"/>
      <c r="M81" s="96"/>
      <c r="N81" s="45"/>
    </row>
    <row r="82" spans="1:14" s="2" customFormat="1" ht="15" x14ac:dyDescent="0.2">
      <c r="A82" s="36"/>
      <c r="B82" s="162"/>
      <c r="C82" s="111" t="s">
        <v>323</v>
      </c>
      <c r="D82" s="716" t="s">
        <v>768</v>
      </c>
      <c r="E82" s="719"/>
      <c r="F82" s="719"/>
      <c r="G82" s="719"/>
      <c r="H82" s="719"/>
      <c r="I82" s="719"/>
      <c r="J82" s="719"/>
      <c r="K82" s="719"/>
      <c r="L82" s="719"/>
      <c r="M82" s="96"/>
      <c r="N82" s="45"/>
    </row>
    <row r="83" spans="1:14" s="2" customFormat="1" ht="15.75" customHeight="1" x14ac:dyDescent="0.2">
      <c r="A83" s="36"/>
      <c r="B83" s="162"/>
      <c r="C83" s="111"/>
      <c r="D83" s="96"/>
      <c r="E83" s="96"/>
      <c r="F83" s="96"/>
      <c r="G83" s="96"/>
      <c r="H83" s="96"/>
      <c r="I83" s="96"/>
      <c r="J83" s="96"/>
      <c r="K83" s="96"/>
      <c r="L83" s="96"/>
      <c r="M83" s="96"/>
      <c r="N83" s="45"/>
    </row>
    <row r="84" spans="1:14" s="2" customFormat="1" ht="15.75" customHeight="1" x14ac:dyDescent="0.2">
      <c r="A84" s="36"/>
      <c r="B84" s="111" t="s">
        <v>322</v>
      </c>
      <c r="C84" s="716" t="s">
        <v>856</v>
      </c>
      <c r="D84" s="717"/>
      <c r="E84" s="717"/>
      <c r="F84" s="717"/>
      <c r="G84" s="717"/>
      <c r="H84" s="717"/>
      <c r="I84" s="717"/>
      <c r="J84" s="717"/>
      <c r="K84" s="717"/>
      <c r="L84" s="717"/>
      <c r="M84" s="96"/>
      <c r="N84" s="45"/>
    </row>
    <row r="85" spans="1:14" s="2" customFormat="1" ht="18" customHeight="1" x14ac:dyDescent="0.2">
      <c r="A85" s="36"/>
      <c r="B85" s="111"/>
      <c r="C85" s="111" t="s">
        <v>323</v>
      </c>
      <c r="D85" s="716" t="s">
        <v>770</v>
      </c>
      <c r="E85" s="719"/>
      <c r="F85" s="719"/>
      <c r="G85" s="719"/>
      <c r="H85" s="719"/>
      <c r="I85" s="719"/>
      <c r="J85" s="719"/>
      <c r="K85" s="719"/>
      <c r="L85" s="719"/>
      <c r="M85" s="96"/>
      <c r="N85" s="45"/>
    </row>
    <row r="86" spans="1:14" s="2" customFormat="1" ht="15.75" customHeight="1" x14ac:dyDescent="0.2">
      <c r="A86" s="36"/>
      <c r="B86" s="111"/>
      <c r="C86" s="95"/>
      <c r="D86" s="716" t="s">
        <v>771</v>
      </c>
      <c r="E86" s="719"/>
      <c r="F86" s="719"/>
      <c r="G86" s="719"/>
      <c r="H86" s="719"/>
      <c r="I86" s="719"/>
      <c r="J86" s="719"/>
      <c r="K86" s="719"/>
      <c r="L86" s="719"/>
      <c r="M86" s="96"/>
      <c r="N86" s="45"/>
    </row>
    <row r="87" spans="1:14" s="2" customFormat="1" ht="15.75" customHeight="1" x14ac:dyDescent="0.2">
      <c r="A87" s="36"/>
      <c r="B87" s="162"/>
      <c r="C87" s="111"/>
      <c r="D87" s="716" t="s">
        <v>772</v>
      </c>
      <c r="E87" s="719"/>
      <c r="F87" s="719"/>
      <c r="G87" s="719"/>
      <c r="H87" s="719"/>
      <c r="I87" s="719"/>
      <c r="J87" s="719"/>
      <c r="K87" s="719"/>
      <c r="L87" s="719"/>
      <c r="M87" s="96"/>
      <c r="N87" s="45"/>
    </row>
    <row r="88" spans="1:14" s="2" customFormat="1" ht="6.75" customHeight="1" x14ac:dyDescent="0.2">
      <c r="A88" s="36"/>
      <c r="B88" s="162"/>
      <c r="C88" s="111"/>
      <c r="D88" s="96"/>
      <c r="E88" s="96"/>
      <c r="F88" s="96"/>
      <c r="G88" s="96"/>
      <c r="H88" s="96"/>
      <c r="I88" s="96"/>
      <c r="J88" s="96"/>
      <c r="K88" s="96"/>
      <c r="L88" s="96"/>
      <c r="M88" s="96"/>
      <c r="N88" s="45"/>
    </row>
    <row r="89" spans="1:14" s="2" customFormat="1" ht="17.25" customHeight="1" x14ac:dyDescent="0.2">
      <c r="A89" s="36"/>
      <c r="B89" s="111" t="s">
        <v>322</v>
      </c>
      <c r="C89" s="716" t="s">
        <v>773</v>
      </c>
      <c r="D89" s="717"/>
      <c r="E89" s="717"/>
      <c r="F89" s="717"/>
      <c r="G89" s="717"/>
      <c r="H89" s="717"/>
      <c r="I89" s="717"/>
      <c r="J89" s="717"/>
      <c r="K89" s="717"/>
      <c r="L89" s="717"/>
      <c r="M89" s="96"/>
      <c r="N89" s="45"/>
    </row>
    <row r="90" spans="1:14" s="2" customFormat="1" ht="17.25" customHeight="1" x14ac:dyDescent="0.2">
      <c r="A90" s="36"/>
      <c r="B90" s="111"/>
      <c r="C90" s="716" t="s">
        <v>857</v>
      </c>
      <c r="D90" s="717"/>
      <c r="E90" s="717"/>
      <c r="F90" s="717"/>
      <c r="G90" s="717"/>
      <c r="H90" s="717"/>
      <c r="I90" s="717"/>
      <c r="J90" s="717"/>
      <c r="K90" s="717"/>
      <c r="L90" s="717"/>
      <c r="M90" s="96"/>
      <c r="N90" s="45"/>
    </row>
    <row r="91" spans="1:14" s="2" customFormat="1" ht="19.5" customHeight="1" x14ac:dyDescent="0.2">
      <c r="A91" s="36"/>
      <c r="B91" s="111"/>
      <c r="C91" s="111" t="s">
        <v>323</v>
      </c>
      <c r="D91" s="716" t="s">
        <v>489</v>
      </c>
      <c r="E91" s="719"/>
      <c r="F91" s="719"/>
      <c r="G91" s="719"/>
      <c r="H91" s="719"/>
      <c r="I91" s="719"/>
      <c r="J91" s="719"/>
      <c r="K91" s="719"/>
      <c r="L91" s="719"/>
      <c r="M91" s="96"/>
      <c r="N91" s="45"/>
    </row>
    <row r="92" spans="1:14" ht="15" x14ac:dyDescent="0.2">
      <c r="A92" s="36"/>
      <c r="B92" s="111"/>
      <c r="C92" s="189"/>
      <c r="D92" s="722" t="s">
        <v>774</v>
      </c>
      <c r="E92" s="717"/>
      <c r="F92" s="717"/>
      <c r="G92" s="717"/>
      <c r="H92" s="717"/>
      <c r="I92" s="717"/>
      <c r="J92" s="717"/>
      <c r="K92" s="717"/>
      <c r="L92" s="717"/>
      <c r="M92" s="96"/>
      <c r="N92" s="45"/>
    </row>
    <row r="93" spans="1:14" ht="6" customHeight="1" x14ac:dyDescent="0.2">
      <c r="A93" s="36"/>
      <c r="B93" s="111"/>
      <c r="C93" s="111"/>
      <c r="D93" s="96"/>
      <c r="E93" s="96"/>
      <c r="F93" s="96"/>
      <c r="G93" s="96"/>
      <c r="H93" s="96"/>
      <c r="I93" s="96"/>
      <c r="J93" s="96"/>
      <c r="K93" s="96"/>
      <c r="L93" s="96"/>
      <c r="M93" s="96"/>
      <c r="N93" s="45"/>
    </row>
    <row r="94" spans="1:14" ht="6" customHeight="1" x14ac:dyDescent="0.2">
      <c r="A94" s="36"/>
      <c r="B94" s="111"/>
      <c r="C94" s="111"/>
      <c r="D94" s="96"/>
      <c r="E94" s="96"/>
      <c r="F94" s="96"/>
      <c r="G94" s="96"/>
      <c r="H94" s="96"/>
      <c r="I94" s="96"/>
      <c r="J94" s="96"/>
      <c r="K94" s="96"/>
      <c r="L94" s="96"/>
      <c r="M94" s="96"/>
      <c r="N94" s="45"/>
    </row>
    <row r="95" spans="1:14" ht="15" x14ac:dyDescent="0.2">
      <c r="A95" s="36"/>
      <c r="B95" s="111" t="s">
        <v>322</v>
      </c>
      <c r="C95" s="716" t="s">
        <v>858</v>
      </c>
      <c r="D95" s="720"/>
      <c r="E95" s="720"/>
      <c r="F95" s="720"/>
      <c r="G95" s="720"/>
      <c r="H95" s="720"/>
      <c r="I95" s="720"/>
      <c r="J95" s="720"/>
      <c r="K95" s="720"/>
      <c r="L95" s="720"/>
      <c r="M95" s="96"/>
      <c r="N95" s="45"/>
    </row>
    <row r="96" spans="1:14" ht="18" customHeight="1" x14ac:dyDescent="0.2">
      <c r="A96" s="36"/>
      <c r="B96" s="111"/>
      <c r="C96" s="111" t="s">
        <v>323</v>
      </c>
      <c r="D96" s="716" t="s">
        <v>526</v>
      </c>
      <c r="E96" s="716"/>
      <c r="F96" s="716"/>
      <c r="G96" s="716"/>
      <c r="H96" s="716"/>
      <c r="I96" s="716"/>
      <c r="J96" s="716"/>
      <c r="K96" s="716"/>
      <c r="L96" s="716"/>
      <c r="M96" s="96"/>
      <c r="N96" s="45"/>
    </row>
    <row r="97" spans="1:14" ht="16.5" customHeight="1" x14ac:dyDescent="0.2">
      <c r="A97" s="36"/>
      <c r="B97" s="111"/>
      <c r="C97" s="95"/>
      <c r="D97" s="716" t="s">
        <v>775</v>
      </c>
      <c r="E97" s="717"/>
      <c r="F97" s="717"/>
      <c r="G97" s="717"/>
      <c r="H97" s="717"/>
      <c r="I97" s="717"/>
      <c r="J97" s="717"/>
      <c r="K97" s="717"/>
      <c r="L97" s="717"/>
      <c r="M97" s="96"/>
      <c r="N97" s="45"/>
    </row>
    <row r="98" spans="1:14" ht="8.25" customHeight="1" x14ac:dyDescent="0.2">
      <c r="A98" s="36"/>
      <c r="B98" s="95"/>
      <c r="C98" s="95"/>
      <c r="D98" s="96"/>
      <c r="E98" s="96"/>
      <c r="F98" s="96"/>
      <c r="G98" s="96"/>
      <c r="H98" s="96"/>
      <c r="I98" s="96"/>
      <c r="J98" s="96"/>
      <c r="K98" s="96"/>
      <c r="L98" s="96"/>
      <c r="M98" s="96"/>
      <c r="N98" s="45"/>
    </row>
    <row r="99" spans="1:14" ht="9" customHeight="1" x14ac:dyDescent="0.2">
      <c r="A99" s="36"/>
      <c r="B99" s="132"/>
      <c r="C99" s="32"/>
      <c r="D99" s="32"/>
      <c r="E99" s="99"/>
      <c r="F99" s="99"/>
      <c r="G99" s="99"/>
      <c r="H99" s="99"/>
      <c r="I99" s="99"/>
      <c r="J99" s="99"/>
      <c r="K99" s="99"/>
      <c r="L99" s="99"/>
      <c r="M99" s="99"/>
      <c r="N99" s="71"/>
    </row>
    <row r="100" spans="1:14" ht="20.25" x14ac:dyDescent="0.3">
      <c r="A100" s="38"/>
      <c r="B100" s="370" t="s">
        <v>776</v>
      </c>
      <c r="C100" s="95"/>
      <c r="D100" s="42"/>
      <c r="E100" s="96"/>
      <c r="F100" s="96"/>
      <c r="G100" s="96"/>
      <c r="H100" s="96"/>
      <c r="I100" s="96"/>
      <c r="J100" s="96"/>
      <c r="K100" s="96"/>
      <c r="L100" s="96"/>
      <c r="M100" s="96"/>
      <c r="N100" s="45"/>
    </row>
    <row r="101" spans="1:14" ht="14.25" customHeight="1" x14ac:dyDescent="0.25">
      <c r="A101" s="36"/>
      <c r="B101" s="100"/>
      <c r="C101" s="95"/>
      <c r="D101" s="42"/>
      <c r="E101" s="96"/>
      <c r="F101" s="96"/>
      <c r="G101" s="96"/>
      <c r="H101" s="96"/>
      <c r="I101" s="96"/>
      <c r="J101" s="96"/>
      <c r="K101" s="96"/>
      <c r="L101" s="96"/>
      <c r="M101" s="96"/>
      <c r="N101" s="45"/>
    </row>
    <row r="102" spans="1:14" ht="15" x14ac:dyDescent="0.2">
      <c r="A102" s="36"/>
      <c r="B102" s="82" t="s">
        <v>859</v>
      </c>
      <c r="C102" s="209"/>
      <c r="D102" s="42"/>
      <c r="E102" s="82"/>
      <c r="F102" s="82"/>
      <c r="G102" s="82"/>
      <c r="H102" s="82"/>
      <c r="I102" s="82"/>
      <c r="J102" s="82"/>
      <c r="K102" s="82"/>
      <c r="L102" s="82"/>
      <c r="M102" s="96"/>
      <c r="N102" s="45"/>
    </row>
    <row r="103" spans="1:14" ht="15" x14ac:dyDescent="0.2">
      <c r="A103" s="36"/>
      <c r="B103" s="82" t="s">
        <v>490</v>
      </c>
      <c r="C103" s="209"/>
      <c r="D103" s="42"/>
      <c r="E103" s="82"/>
      <c r="F103" s="82"/>
      <c r="G103" s="82"/>
      <c r="H103" s="82"/>
      <c r="I103" s="82"/>
      <c r="J103" s="82"/>
      <c r="K103" s="82"/>
      <c r="L103" s="82"/>
      <c r="M103" s="96"/>
      <c r="N103" s="45"/>
    </row>
    <row r="104" spans="1:14" ht="15" x14ac:dyDescent="0.2">
      <c r="A104" s="36"/>
      <c r="B104" s="82" t="s">
        <v>778</v>
      </c>
      <c r="C104" s="209"/>
      <c r="D104" s="42"/>
      <c r="E104" s="82"/>
      <c r="F104" s="82"/>
      <c r="G104" s="82"/>
      <c r="H104" s="82"/>
      <c r="I104" s="82"/>
      <c r="J104" s="82"/>
      <c r="K104" s="82"/>
      <c r="L104" s="82"/>
      <c r="M104" s="96"/>
      <c r="N104" s="45"/>
    </row>
    <row r="105" spans="1:14" ht="15" x14ac:dyDescent="0.2">
      <c r="A105" s="36"/>
      <c r="B105" s="82"/>
      <c r="C105" s="82"/>
      <c r="D105" s="82"/>
      <c r="E105" s="82"/>
      <c r="F105" s="82"/>
      <c r="G105" s="82"/>
      <c r="H105" s="82"/>
      <c r="I105" s="82"/>
      <c r="J105" s="82"/>
      <c r="K105" s="82"/>
      <c r="L105" s="82"/>
      <c r="M105" s="96"/>
      <c r="N105" s="45"/>
    </row>
    <row r="106" spans="1:14" ht="15" x14ac:dyDescent="0.2">
      <c r="A106" s="36"/>
      <c r="B106" s="82"/>
      <c r="C106" s="82"/>
      <c r="D106" s="82"/>
      <c r="E106" s="82"/>
      <c r="F106" s="82"/>
      <c r="G106" s="82"/>
      <c r="H106" s="82"/>
      <c r="I106" s="82"/>
      <c r="J106" s="82"/>
      <c r="K106" s="82"/>
      <c r="L106" s="82"/>
      <c r="M106" s="96"/>
      <c r="N106" s="45"/>
    </row>
    <row r="107" spans="1:14" ht="15" x14ac:dyDescent="0.2">
      <c r="A107" s="36"/>
      <c r="B107" s="82" t="s">
        <v>860</v>
      </c>
      <c r="C107" s="82"/>
      <c r="D107" s="82"/>
      <c r="E107" s="82"/>
      <c r="F107" s="82"/>
      <c r="G107" s="82"/>
      <c r="H107" s="82"/>
      <c r="I107" s="82"/>
      <c r="J107" s="82"/>
      <c r="K107" s="82"/>
      <c r="L107" s="82"/>
      <c r="M107" s="96"/>
      <c r="N107" s="45"/>
    </row>
    <row r="108" spans="1:14" ht="15" x14ac:dyDescent="0.2">
      <c r="A108" s="36"/>
      <c r="B108" s="112"/>
      <c r="C108" s="96"/>
      <c r="D108" s="96"/>
      <c r="E108" s="96"/>
      <c r="F108" s="96"/>
      <c r="G108" s="96"/>
      <c r="H108" s="96"/>
      <c r="I108" s="96"/>
      <c r="J108" s="96"/>
      <c r="K108" s="96"/>
      <c r="L108" s="96"/>
      <c r="M108" s="96"/>
      <c r="N108" s="45"/>
    </row>
    <row r="109" spans="1:14" ht="15" x14ac:dyDescent="0.2">
      <c r="A109" s="36"/>
      <c r="B109" s="132"/>
      <c r="C109" s="99"/>
      <c r="D109" s="99"/>
      <c r="E109" s="99"/>
      <c r="F109" s="99"/>
      <c r="G109" s="99"/>
      <c r="H109" s="99"/>
      <c r="I109" s="99"/>
      <c r="J109" s="99"/>
      <c r="K109" s="99"/>
      <c r="L109" s="99"/>
      <c r="M109" s="99"/>
      <c r="N109" s="71"/>
    </row>
    <row r="110" spans="1:14" ht="20.25" x14ac:dyDescent="0.3">
      <c r="A110" s="38"/>
      <c r="B110" s="370" t="s">
        <v>777</v>
      </c>
      <c r="C110" s="95"/>
      <c r="D110" s="42"/>
      <c r="E110" s="96"/>
      <c r="F110" s="96"/>
      <c r="G110" s="96"/>
      <c r="H110" s="96"/>
      <c r="I110" s="96"/>
      <c r="J110" s="96"/>
      <c r="K110" s="96"/>
      <c r="L110" s="96"/>
      <c r="M110" s="96"/>
      <c r="N110" s="45"/>
    </row>
    <row r="111" spans="1:14" ht="10.5" customHeight="1" x14ac:dyDescent="0.25">
      <c r="A111" s="36"/>
      <c r="B111" s="100"/>
      <c r="C111" s="95"/>
      <c r="D111" s="42"/>
      <c r="E111" s="96"/>
      <c r="F111" s="96"/>
      <c r="G111" s="96"/>
      <c r="H111" s="96"/>
      <c r="I111" s="96"/>
      <c r="J111" s="96"/>
      <c r="K111" s="96"/>
      <c r="L111" s="96"/>
      <c r="M111" s="96"/>
      <c r="N111" s="45"/>
    </row>
    <row r="112" spans="1:14" ht="15" x14ac:dyDescent="0.2">
      <c r="A112" s="36"/>
      <c r="B112" s="209" t="s">
        <v>861</v>
      </c>
      <c r="C112" s="209"/>
      <c r="D112" s="42"/>
      <c r="E112" s="82"/>
      <c r="F112" s="82"/>
      <c r="G112" s="82"/>
      <c r="H112" s="82"/>
      <c r="I112" s="82"/>
      <c r="J112" s="82"/>
      <c r="K112" s="82"/>
      <c r="L112" s="82"/>
      <c r="M112" s="96"/>
      <c r="N112" s="45"/>
    </row>
    <row r="113" spans="1:14" ht="15" x14ac:dyDescent="0.2">
      <c r="A113" s="36"/>
      <c r="B113" s="209" t="s">
        <v>862</v>
      </c>
      <c r="C113" s="209"/>
      <c r="D113" s="42"/>
      <c r="E113" s="82"/>
      <c r="F113" s="82"/>
      <c r="G113" s="82"/>
      <c r="H113" s="82"/>
      <c r="I113" s="82"/>
      <c r="J113" s="82"/>
      <c r="K113" s="82"/>
      <c r="L113" s="82"/>
      <c r="M113" s="96"/>
      <c r="N113" s="45"/>
    </row>
    <row r="114" spans="1:14" ht="15" x14ac:dyDescent="0.2">
      <c r="A114" s="36"/>
      <c r="B114" s="209"/>
      <c r="C114" s="209"/>
      <c r="D114" s="42"/>
      <c r="E114" s="82"/>
      <c r="F114" s="82"/>
      <c r="G114" s="82"/>
      <c r="H114" s="82"/>
      <c r="I114" s="82"/>
      <c r="J114" s="82"/>
      <c r="K114" s="82"/>
      <c r="L114" s="82"/>
      <c r="M114" s="96"/>
      <c r="N114" s="45"/>
    </row>
    <row r="115" spans="1:14" ht="15" x14ac:dyDescent="0.2">
      <c r="A115" s="36"/>
      <c r="B115" s="209" t="s">
        <v>863</v>
      </c>
      <c r="C115" s="209"/>
      <c r="D115" s="42"/>
      <c r="E115" s="82"/>
      <c r="F115" s="82"/>
      <c r="G115" s="82"/>
      <c r="H115" s="82"/>
      <c r="I115" s="82"/>
      <c r="J115" s="82"/>
      <c r="K115" s="82"/>
      <c r="L115" s="82"/>
      <c r="M115" s="96"/>
      <c r="N115" s="45"/>
    </row>
    <row r="116" spans="1:14" ht="21" customHeight="1" x14ac:dyDescent="0.25">
      <c r="A116" s="36"/>
      <c r="B116" s="207"/>
      <c r="C116" s="207"/>
      <c r="D116" s="97"/>
      <c r="E116" s="97"/>
      <c r="F116" s="97"/>
      <c r="G116" s="97"/>
      <c r="H116" s="97"/>
      <c r="I116" s="97"/>
      <c r="J116" s="97"/>
      <c r="K116" s="97"/>
      <c r="L116" s="97"/>
      <c r="M116" s="97"/>
      <c r="N116" s="88"/>
    </row>
    <row r="117" spans="1:14" ht="10.5" customHeight="1" x14ac:dyDescent="0.25">
      <c r="A117" s="36"/>
      <c r="B117" s="198"/>
      <c r="C117" s="198"/>
      <c r="D117" s="99"/>
      <c r="E117" s="99"/>
      <c r="F117" s="99"/>
      <c r="G117" s="99"/>
      <c r="H117" s="99"/>
      <c r="I117" s="99"/>
      <c r="J117" s="99"/>
      <c r="K117" s="99"/>
      <c r="L117" s="99"/>
      <c r="M117" s="99"/>
      <c r="N117" s="71"/>
    </row>
    <row r="118" spans="1:14" ht="21" customHeight="1" x14ac:dyDescent="0.3">
      <c r="A118" s="38"/>
      <c r="B118" s="370" t="s">
        <v>324</v>
      </c>
      <c r="C118" s="101"/>
      <c r="D118" s="101"/>
      <c r="E118" s="96"/>
      <c r="F118" s="96"/>
      <c r="G118" s="96"/>
      <c r="H118" s="96"/>
      <c r="I118" s="96"/>
      <c r="J118" s="96"/>
      <c r="K118" s="96"/>
      <c r="L118" s="96"/>
      <c r="M118" s="96"/>
      <c r="N118" s="45"/>
    </row>
    <row r="119" spans="1:14" ht="5.25" customHeight="1" x14ac:dyDescent="0.3">
      <c r="A119" s="36"/>
      <c r="B119" s="370"/>
      <c r="C119" s="101"/>
      <c r="D119" s="101"/>
      <c r="E119" s="96"/>
      <c r="F119" s="96"/>
      <c r="G119" s="96"/>
      <c r="H119" s="96"/>
      <c r="I119" s="96"/>
      <c r="J119" s="96"/>
      <c r="K119" s="96"/>
      <c r="L119" s="96"/>
      <c r="M119" s="96"/>
      <c r="N119" s="45"/>
    </row>
    <row r="120" spans="1:14" ht="15" customHeight="1" x14ac:dyDescent="0.2">
      <c r="A120" s="36"/>
      <c r="B120" s="209" t="s">
        <v>519</v>
      </c>
      <c r="C120" s="95"/>
      <c r="D120" s="95"/>
      <c r="E120" s="95"/>
      <c r="F120" s="95"/>
      <c r="G120" s="95"/>
      <c r="H120" s="95"/>
      <c r="I120" s="96"/>
      <c r="J120" s="96"/>
      <c r="K120" s="96"/>
      <c r="L120" s="96"/>
      <c r="M120" s="96"/>
      <c r="N120" s="45"/>
    </row>
    <row r="121" spans="1:14" ht="15" x14ac:dyDescent="0.2">
      <c r="A121" s="36"/>
      <c r="B121" s="209" t="s">
        <v>520</v>
      </c>
      <c r="C121" s="95"/>
      <c r="D121" s="95"/>
      <c r="E121" s="95"/>
      <c r="F121" s="95"/>
      <c r="G121" s="95"/>
      <c r="H121" s="95"/>
      <c r="I121" s="96"/>
      <c r="J121" s="96"/>
      <c r="K121" s="96"/>
      <c r="L121" s="96"/>
      <c r="M121" s="96"/>
      <c r="N121" s="45"/>
    </row>
    <row r="122" spans="1:14" ht="15" customHeight="1" x14ac:dyDescent="0.2">
      <c r="A122" s="36"/>
      <c r="B122" s="209" t="s">
        <v>864</v>
      </c>
      <c r="C122" s="95"/>
      <c r="D122" s="95"/>
      <c r="E122" s="95"/>
      <c r="F122" s="95"/>
      <c r="G122" s="95"/>
      <c r="H122" s="95"/>
      <c r="I122" s="96"/>
      <c r="J122" s="96"/>
      <c r="K122" s="96"/>
      <c r="L122" s="96"/>
      <c r="M122" s="96"/>
      <c r="N122" s="45"/>
    </row>
    <row r="123" spans="1:14" ht="15" customHeight="1" x14ac:dyDescent="0.2">
      <c r="A123" s="36"/>
      <c r="B123" s="209"/>
      <c r="C123" s="95"/>
      <c r="D123" s="95"/>
      <c r="E123" s="95"/>
      <c r="F123" s="95"/>
      <c r="G123" s="95"/>
      <c r="H123" s="95"/>
      <c r="I123" s="96"/>
      <c r="J123" s="96"/>
      <c r="K123" s="96"/>
      <c r="L123" s="96"/>
      <c r="M123" s="96"/>
      <c r="N123" s="45"/>
    </row>
    <row r="124" spans="1:14" ht="15.75" x14ac:dyDescent="0.25">
      <c r="A124" s="36"/>
      <c r="B124" s="95"/>
      <c r="C124" s="101"/>
      <c r="D124" s="101"/>
      <c r="E124" s="96"/>
      <c r="F124" s="96"/>
      <c r="G124" s="96"/>
      <c r="H124" s="96"/>
      <c r="I124" s="96"/>
      <c r="J124" s="96"/>
      <c r="K124" s="96"/>
      <c r="L124" s="96"/>
      <c r="M124" s="96"/>
      <c r="N124" s="45"/>
    </row>
    <row r="125" spans="1:14" ht="15.75" x14ac:dyDescent="0.25">
      <c r="A125" s="36"/>
      <c r="B125" s="95"/>
      <c r="C125" s="101"/>
      <c r="D125" s="101"/>
      <c r="E125" s="96"/>
      <c r="F125" s="96"/>
      <c r="G125" s="96"/>
      <c r="H125" s="96"/>
      <c r="I125" s="96"/>
      <c r="J125" s="96"/>
      <c r="K125" s="96"/>
      <c r="L125" s="96"/>
      <c r="M125" s="96"/>
      <c r="N125" s="45"/>
    </row>
    <row r="126" spans="1:14" ht="15.75" customHeight="1" x14ac:dyDescent="0.25">
      <c r="A126" s="36"/>
      <c r="B126" s="95"/>
      <c r="C126" s="101"/>
      <c r="D126" s="101"/>
      <c r="E126" s="96"/>
      <c r="F126" s="96"/>
      <c r="G126" s="96"/>
      <c r="H126" s="96"/>
      <c r="I126" s="96"/>
      <c r="J126" s="96"/>
      <c r="K126" s="96"/>
      <c r="L126" s="96"/>
      <c r="M126" s="96"/>
      <c r="N126" s="45"/>
    </row>
    <row r="127" spans="1:14" ht="15.75" customHeight="1" x14ac:dyDescent="0.25">
      <c r="A127" s="36"/>
      <c r="B127" s="95"/>
      <c r="C127" s="101"/>
      <c r="D127" s="101"/>
      <c r="E127" s="96"/>
      <c r="F127" s="96"/>
      <c r="G127" s="96"/>
      <c r="H127" s="96"/>
      <c r="I127" s="96"/>
      <c r="J127" s="96"/>
      <c r="K127" s="96"/>
      <c r="L127" s="96"/>
      <c r="M127" s="96"/>
      <c r="N127" s="45"/>
    </row>
    <row r="128" spans="1:14" ht="15.75" customHeight="1" x14ac:dyDescent="0.25">
      <c r="A128" s="36"/>
      <c r="B128" s="95"/>
      <c r="C128" s="101"/>
      <c r="D128" s="101"/>
      <c r="E128" s="96"/>
      <c r="F128" s="96"/>
      <c r="G128" s="96"/>
      <c r="H128" s="96"/>
      <c r="I128" s="96"/>
      <c r="J128" s="96"/>
      <c r="K128" s="96"/>
      <c r="L128" s="96"/>
      <c r="M128" s="96"/>
      <c r="N128" s="45"/>
    </row>
    <row r="129" spans="1:14" ht="15.75" customHeight="1" x14ac:dyDescent="0.25">
      <c r="A129" s="36"/>
      <c r="B129" s="95"/>
      <c r="C129" s="101"/>
      <c r="D129" s="101"/>
      <c r="E129" s="96"/>
      <c r="F129" s="96"/>
      <c r="G129" s="96"/>
      <c r="H129" s="96"/>
      <c r="I129" s="96"/>
      <c r="J129" s="96"/>
      <c r="K129" s="96"/>
      <c r="L129" s="96"/>
      <c r="M129" s="96"/>
      <c r="N129" s="45"/>
    </row>
    <row r="130" spans="1:14" ht="20.25" customHeight="1" x14ac:dyDescent="0.25">
      <c r="A130" s="36"/>
      <c r="B130" s="95"/>
      <c r="C130" s="101"/>
      <c r="D130" s="101"/>
      <c r="E130" s="96"/>
      <c r="F130" s="96"/>
      <c r="G130" s="96"/>
      <c r="H130" s="96"/>
      <c r="I130" s="96"/>
      <c r="J130" s="96"/>
      <c r="K130" s="96"/>
      <c r="L130" s="96"/>
      <c r="M130" s="96"/>
      <c r="N130" s="45"/>
    </row>
    <row r="131" spans="1:14" ht="18" customHeight="1" x14ac:dyDescent="0.25">
      <c r="A131" s="36"/>
      <c r="B131" s="95"/>
      <c r="C131" s="101"/>
      <c r="D131" s="101"/>
      <c r="E131" s="96"/>
      <c r="F131" s="96"/>
      <c r="G131" s="96"/>
      <c r="H131" s="96"/>
      <c r="I131" s="96"/>
      <c r="J131" s="96"/>
      <c r="K131" s="96"/>
      <c r="L131" s="96"/>
      <c r="M131" s="96"/>
      <c r="N131" s="45"/>
    </row>
    <row r="132" spans="1:14" ht="21" customHeight="1" x14ac:dyDescent="0.25">
      <c r="A132" s="36"/>
      <c r="B132" s="95"/>
      <c r="C132" s="101"/>
      <c r="D132" s="101"/>
      <c r="E132" s="96"/>
      <c r="F132" s="96"/>
      <c r="G132" s="96"/>
      <c r="H132" s="96"/>
      <c r="I132" s="96"/>
      <c r="J132" s="96"/>
      <c r="K132" s="96"/>
      <c r="L132" s="96"/>
      <c r="M132" s="96"/>
      <c r="N132" s="45"/>
    </row>
    <row r="133" spans="1:14" ht="21" customHeight="1" x14ac:dyDescent="0.25">
      <c r="A133" s="36"/>
      <c r="B133" s="95"/>
      <c r="C133" s="101"/>
      <c r="D133" s="101"/>
      <c r="E133" s="96"/>
      <c r="F133" s="96"/>
      <c r="G133" s="96"/>
      <c r="H133" s="96"/>
      <c r="I133" s="96"/>
      <c r="J133" s="96"/>
      <c r="K133" s="96"/>
      <c r="L133" s="96"/>
      <c r="M133" s="96"/>
      <c r="N133" s="45"/>
    </row>
    <row r="134" spans="1:14" ht="10.5" customHeight="1" x14ac:dyDescent="0.25">
      <c r="A134" s="36"/>
      <c r="B134" s="95"/>
      <c r="C134" s="101"/>
      <c r="D134" s="101"/>
      <c r="E134" s="96"/>
      <c r="F134" s="96"/>
      <c r="G134" s="96"/>
      <c r="H134" s="96"/>
      <c r="I134" s="96"/>
      <c r="J134" s="96"/>
      <c r="K134" s="96"/>
      <c r="L134" s="96"/>
      <c r="M134" s="96"/>
      <c r="N134" s="45"/>
    </row>
    <row r="135" spans="1:14" ht="15.75" x14ac:dyDescent="0.25">
      <c r="A135" s="36"/>
      <c r="B135" s="95"/>
      <c r="C135" s="101"/>
      <c r="D135" s="101"/>
      <c r="E135" s="96"/>
      <c r="F135" s="96"/>
      <c r="G135" s="96"/>
      <c r="H135" s="96"/>
      <c r="I135" s="96"/>
      <c r="J135" s="47" t="s">
        <v>743</v>
      </c>
      <c r="K135" s="96"/>
      <c r="L135" s="96"/>
      <c r="M135" s="96"/>
      <c r="N135" s="45"/>
    </row>
    <row r="136" spans="1:14" ht="11.25" customHeight="1" x14ac:dyDescent="0.25">
      <c r="A136" s="36"/>
      <c r="B136" s="95"/>
      <c r="C136" s="101"/>
      <c r="D136" s="101"/>
      <c r="E136" s="96"/>
      <c r="F136" s="96"/>
      <c r="G136" s="96"/>
      <c r="H136" s="96"/>
      <c r="I136" s="96"/>
      <c r="J136" s="42" t="s">
        <v>865</v>
      </c>
      <c r="K136" s="96"/>
      <c r="L136" s="96"/>
      <c r="M136" s="96"/>
      <c r="N136" s="45"/>
    </row>
    <row r="137" spans="1:14" ht="15.75" x14ac:dyDescent="0.25">
      <c r="A137" s="36"/>
      <c r="B137" s="95"/>
      <c r="C137" s="101"/>
      <c r="D137" s="101"/>
      <c r="E137" s="96"/>
      <c r="F137" s="96"/>
      <c r="G137" s="96"/>
      <c r="H137" s="96"/>
      <c r="I137" s="96"/>
      <c r="J137" s="42" t="s">
        <v>744</v>
      </c>
      <c r="K137" s="96"/>
      <c r="L137" s="96"/>
      <c r="M137" s="96"/>
      <c r="N137" s="45"/>
    </row>
    <row r="138" spans="1:14" ht="15.75" x14ac:dyDescent="0.25">
      <c r="A138" s="36"/>
      <c r="B138" s="95"/>
      <c r="C138" s="101"/>
      <c r="D138" s="101"/>
      <c r="E138" s="96"/>
      <c r="F138" s="96"/>
      <c r="G138" s="96"/>
      <c r="H138" s="96"/>
      <c r="I138" s="96"/>
      <c r="J138" s="42" t="s">
        <v>866</v>
      </c>
      <c r="K138" s="96"/>
      <c r="L138" s="96"/>
      <c r="M138" s="96"/>
      <c r="N138" s="45"/>
    </row>
    <row r="139" spans="1:14" ht="15.75" x14ac:dyDescent="0.25">
      <c r="A139" s="36"/>
      <c r="B139" s="95"/>
      <c r="C139" s="101"/>
      <c r="D139" s="101"/>
      <c r="E139" s="96"/>
      <c r="F139" s="96"/>
      <c r="G139" s="96"/>
      <c r="H139" s="96"/>
      <c r="I139" s="96"/>
      <c r="J139" s="96"/>
      <c r="K139" s="96"/>
      <c r="L139" s="96"/>
      <c r="M139" s="96"/>
      <c r="N139" s="45"/>
    </row>
    <row r="140" spans="1:14" ht="15.75" x14ac:dyDescent="0.25">
      <c r="A140" s="36"/>
      <c r="B140" s="95"/>
      <c r="C140" s="101"/>
      <c r="D140" s="101"/>
      <c r="E140" s="96"/>
      <c r="F140" s="96"/>
      <c r="G140" s="96"/>
      <c r="H140" s="96"/>
      <c r="I140" s="96"/>
      <c r="J140" s="47" t="s">
        <v>745</v>
      </c>
      <c r="K140" s="96"/>
      <c r="L140" s="96"/>
      <c r="M140" s="96"/>
      <c r="N140" s="45"/>
    </row>
    <row r="141" spans="1:14" ht="15.75" x14ac:dyDescent="0.25">
      <c r="A141" s="36"/>
      <c r="B141" s="95"/>
      <c r="C141" s="101"/>
      <c r="D141" s="101"/>
      <c r="E141" s="96"/>
      <c r="F141" s="96"/>
      <c r="G141" s="96"/>
      <c r="H141" s="96"/>
      <c r="I141" s="96"/>
      <c r="J141" s="42" t="s">
        <v>746</v>
      </c>
      <c r="K141" s="96"/>
      <c r="L141" s="96"/>
      <c r="M141" s="96"/>
      <c r="N141" s="45"/>
    </row>
    <row r="142" spans="1:14" ht="17.25" customHeight="1" x14ac:dyDescent="0.25">
      <c r="A142" s="36"/>
      <c r="B142" s="95"/>
      <c r="C142" s="101"/>
      <c r="D142" s="101"/>
      <c r="E142" s="96"/>
      <c r="F142" s="96"/>
      <c r="G142" s="96"/>
      <c r="H142" s="96"/>
      <c r="I142" s="96"/>
      <c r="J142" s="42" t="s">
        <v>747</v>
      </c>
      <c r="K142" s="96"/>
      <c r="L142" s="96"/>
      <c r="M142" s="96"/>
      <c r="N142" s="45"/>
    </row>
    <row r="143" spans="1:14" ht="17.25" customHeight="1" x14ac:dyDescent="0.25">
      <c r="A143" s="36"/>
      <c r="B143" s="95"/>
      <c r="C143" s="101"/>
      <c r="D143" s="101"/>
      <c r="E143" s="96"/>
      <c r="F143" s="96"/>
      <c r="G143" s="96"/>
      <c r="H143" s="96"/>
      <c r="I143" s="96"/>
      <c r="J143" s="42" t="s">
        <v>748</v>
      </c>
      <c r="K143" s="96"/>
      <c r="L143" s="96"/>
      <c r="M143" s="96"/>
      <c r="N143" s="45"/>
    </row>
    <row r="144" spans="1:14" ht="15.75" x14ac:dyDescent="0.25">
      <c r="A144" s="36"/>
      <c r="B144" s="95"/>
      <c r="C144" s="101"/>
      <c r="D144" s="101"/>
      <c r="E144" s="96"/>
      <c r="F144" s="96"/>
      <c r="G144" s="96"/>
      <c r="H144" s="96"/>
      <c r="I144" s="96"/>
      <c r="J144" s="47" t="s">
        <v>749</v>
      </c>
      <c r="K144" s="96"/>
      <c r="L144" s="96"/>
      <c r="M144" s="96"/>
      <c r="N144" s="45"/>
    </row>
    <row r="145" spans="1:14" ht="15" customHeight="1" x14ac:dyDescent="0.25">
      <c r="A145" s="36"/>
      <c r="B145" s="95"/>
      <c r="C145" s="101"/>
      <c r="D145" s="101"/>
      <c r="E145" s="96"/>
      <c r="F145" s="96"/>
      <c r="G145" s="96"/>
      <c r="H145" s="96"/>
      <c r="I145" s="96"/>
      <c r="J145" s="42" t="s">
        <v>750</v>
      </c>
      <c r="K145" s="96"/>
      <c r="L145" s="96"/>
      <c r="M145" s="96"/>
      <c r="N145" s="45"/>
    </row>
    <row r="146" spans="1:14" ht="15.75" x14ac:dyDescent="0.25">
      <c r="A146" s="36"/>
      <c r="B146" s="95"/>
      <c r="C146" s="101"/>
      <c r="D146" s="101"/>
      <c r="E146" s="96"/>
      <c r="F146" s="96"/>
      <c r="G146" s="96"/>
      <c r="H146" s="96"/>
      <c r="I146" s="96"/>
      <c r="J146" s="42" t="s">
        <v>751</v>
      </c>
      <c r="K146" s="96"/>
      <c r="L146" s="96"/>
      <c r="M146" s="96"/>
      <c r="N146" s="45"/>
    </row>
    <row r="147" spans="1:14" ht="14.25" customHeight="1" x14ac:dyDescent="0.25">
      <c r="A147" s="36"/>
      <c r="B147" s="95"/>
      <c r="C147" s="101"/>
      <c r="D147" s="101"/>
      <c r="E147" s="96"/>
      <c r="F147" s="96"/>
      <c r="G147" s="96"/>
      <c r="H147" s="96"/>
      <c r="I147" s="96"/>
      <c r="J147" s="42" t="s">
        <v>752</v>
      </c>
      <c r="K147" s="96"/>
      <c r="L147" s="96"/>
      <c r="M147" s="96"/>
      <c r="N147" s="45"/>
    </row>
    <row r="148" spans="1:14" ht="15.75" x14ac:dyDescent="0.25">
      <c r="A148" s="36"/>
      <c r="B148" s="95"/>
      <c r="C148" s="101"/>
      <c r="D148" s="101"/>
      <c r="E148" s="96"/>
      <c r="F148" s="96"/>
      <c r="G148" s="96"/>
      <c r="H148" s="96"/>
      <c r="I148" s="96"/>
      <c r="J148" s="42" t="s">
        <v>753</v>
      </c>
      <c r="K148" s="96"/>
      <c r="L148" s="96"/>
      <c r="M148" s="96"/>
      <c r="N148" s="45"/>
    </row>
    <row r="149" spans="1:14" ht="15.75" x14ac:dyDescent="0.25">
      <c r="A149" s="36"/>
      <c r="B149" s="95"/>
      <c r="C149" s="101"/>
      <c r="D149" s="101"/>
      <c r="E149" s="96"/>
      <c r="F149" s="96"/>
      <c r="G149" s="96"/>
      <c r="H149" s="96"/>
      <c r="I149" s="96"/>
      <c r="J149" s="42" t="s">
        <v>754</v>
      </c>
      <c r="K149" s="96"/>
      <c r="L149" s="96"/>
      <c r="M149" s="96"/>
      <c r="N149" s="45"/>
    </row>
    <row r="150" spans="1:14" ht="15.75" x14ac:dyDescent="0.25">
      <c r="A150" s="36"/>
      <c r="B150" s="95"/>
      <c r="C150" s="101"/>
      <c r="D150" s="101"/>
      <c r="E150" s="96"/>
      <c r="F150" s="96"/>
      <c r="G150" s="96"/>
      <c r="H150" s="96"/>
      <c r="I150" s="96"/>
      <c r="J150" s="42" t="s">
        <v>867</v>
      </c>
      <c r="K150" s="96"/>
      <c r="L150" s="96"/>
      <c r="M150" s="96"/>
      <c r="N150" s="45"/>
    </row>
    <row r="151" spans="1:14" ht="15.75" x14ac:dyDescent="0.25">
      <c r="A151" s="36"/>
      <c r="B151" s="95"/>
      <c r="C151" s="101"/>
      <c r="D151" s="101"/>
      <c r="E151" s="96"/>
      <c r="F151" s="96"/>
      <c r="G151" s="96"/>
      <c r="H151" s="96"/>
      <c r="I151" s="96"/>
      <c r="J151" s="47" t="s">
        <v>755</v>
      </c>
      <c r="K151" s="96"/>
      <c r="L151" s="96"/>
      <c r="M151" s="96"/>
      <c r="N151" s="45"/>
    </row>
    <row r="152" spans="1:14" ht="15.75" x14ac:dyDescent="0.25">
      <c r="A152" s="36"/>
      <c r="B152" s="95"/>
      <c r="C152" s="101"/>
      <c r="D152" s="101"/>
      <c r="E152" s="96"/>
      <c r="F152" s="96"/>
      <c r="G152" s="96"/>
      <c r="H152" s="96"/>
      <c r="I152" s="96"/>
      <c r="J152" s="42" t="s">
        <v>868</v>
      </c>
      <c r="K152" s="96"/>
      <c r="L152" s="96"/>
      <c r="M152" s="96"/>
      <c r="N152" s="45"/>
    </row>
    <row r="153" spans="1:14" ht="15.75" x14ac:dyDescent="0.25">
      <c r="A153" s="36"/>
      <c r="B153" s="95"/>
      <c r="C153" s="101"/>
      <c r="D153" s="101"/>
      <c r="E153" s="96"/>
      <c r="F153" s="96"/>
      <c r="G153" s="96"/>
      <c r="H153" s="96"/>
      <c r="I153" s="96"/>
      <c r="J153" s="42" t="s">
        <v>869</v>
      </c>
      <c r="K153" s="96"/>
      <c r="L153" s="96"/>
      <c r="M153" s="96"/>
      <c r="N153" s="45"/>
    </row>
    <row r="154" spans="1:14" ht="15.75" x14ac:dyDescent="0.25">
      <c r="A154" s="36"/>
      <c r="B154" s="95"/>
      <c r="C154" s="101"/>
      <c r="D154" s="101"/>
      <c r="E154" s="96"/>
      <c r="F154" s="96"/>
      <c r="G154" s="96"/>
      <c r="H154" s="96"/>
      <c r="I154" s="96"/>
      <c r="J154" s="42" t="s">
        <v>756</v>
      </c>
      <c r="K154" s="96"/>
      <c r="L154" s="96"/>
      <c r="M154" s="96"/>
      <c r="N154" s="45"/>
    </row>
    <row r="155" spans="1:14" ht="20.25" x14ac:dyDescent="0.3">
      <c r="A155" s="36"/>
      <c r="B155" s="370"/>
      <c r="C155" s="95"/>
      <c r="D155" s="42"/>
      <c r="E155" s="96"/>
      <c r="F155" s="96"/>
      <c r="G155" s="96"/>
      <c r="H155" s="96"/>
      <c r="I155" s="96"/>
      <c r="J155" s="42" t="s">
        <v>757</v>
      </c>
      <c r="K155" s="96"/>
      <c r="L155" s="96"/>
      <c r="M155" s="96"/>
      <c r="N155" s="45"/>
    </row>
    <row r="156" spans="1:14" ht="20.25" x14ac:dyDescent="0.3">
      <c r="A156" s="36"/>
      <c r="B156" s="370"/>
      <c r="C156" s="95"/>
      <c r="D156" s="42"/>
      <c r="E156" s="96"/>
      <c r="F156" s="96"/>
      <c r="G156" s="96"/>
      <c r="H156" s="96"/>
      <c r="I156" s="96"/>
      <c r="J156" s="42" t="s">
        <v>758</v>
      </c>
      <c r="K156" s="96"/>
      <c r="L156" s="96"/>
      <c r="M156" s="96"/>
      <c r="N156" s="45"/>
    </row>
    <row r="157" spans="1:14" ht="20.25" x14ac:dyDescent="0.3">
      <c r="A157" s="36"/>
      <c r="B157" s="370"/>
      <c r="C157" s="95"/>
      <c r="D157" s="42"/>
      <c r="E157" s="96"/>
      <c r="F157" s="96"/>
      <c r="G157" s="96"/>
      <c r="H157" s="96"/>
      <c r="I157" s="96"/>
      <c r="J157" s="42" t="s">
        <v>759</v>
      </c>
      <c r="K157" s="96"/>
      <c r="L157" s="96"/>
      <c r="M157" s="96"/>
      <c r="N157" s="45"/>
    </row>
    <row r="158" spans="1:14" ht="21.75" customHeight="1" x14ac:dyDescent="0.3">
      <c r="A158" s="36"/>
      <c r="B158" s="370"/>
      <c r="C158" s="95"/>
      <c r="D158" s="42"/>
      <c r="E158" s="96"/>
      <c r="F158" s="96"/>
      <c r="G158" s="96"/>
      <c r="H158" s="96"/>
      <c r="I158" s="96"/>
      <c r="J158" s="42" t="s">
        <v>760</v>
      </c>
      <c r="K158" s="96"/>
      <c r="L158" s="96"/>
      <c r="M158" s="96"/>
      <c r="N158" s="45"/>
    </row>
    <row r="159" spans="1:14" ht="15" x14ac:dyDescent="0.2">
      <c r="A159" s="36"/>
      <c r="B159" s="98"/>
      <c r="C159" s="98"/>
      <c r="D159" s="31"/>
      <c r="E159" s="99"/>
      <c r="F159" s="99"/>
      <c r="G159" s="99"/>
      <c r="H159" s="99"/>
      <c r="I159" s="99"/>
      <c r="J159" s="99"/>
      <c r="K159" s="32"/>
      <c r="L159" s="32"/>
      <c r="M159" s="32"/>
      <c r="N159" s="71"/>
    </row>
    <row r="160" spans="1:14" ht="20.25" x14ac:dyDescent="0.3">
      <c r="A160" s="38"/>
      <c r="B160" s="187" t="s">
        <v>434</v>
      </c>
      <c r="C160" s="101"/>
      <c r="D160" s="101"/>
      <c r="E160" s="96"/>
      <c r="F160" s="96"/>
      <c r="G160" s="96"/>
      <c r="H160" s="96"/>
      <c r="I160" s="96"/>
      <c r="J160" s="96"/>
      <c r="K160" s="38"/>
      <c r="L160" s="38"/>
      <c r="M160" s="38"/>
      <c r="N160" s="45"/>
    </row>
    <row r="161" spans="1:14" ht="9.75" customHeight="1" x14ac:dyDescent="0.25">
      <c r="A161" s="36"/>
      <c r="B161" s="100"/>
      <c r="C161" s="101"/>
      <c r="D161" s="101"/>
      <c r="E161" s="96"/>
      <c r="F161" s="96"/>
      <c r="G161" s="96"/>
      <c r="H161" s="96"/>
      <c r="I161" s="96"/>
      <c r="J161" s="96"/>
      <c r="K161" s="38"/>
      <c r="L161" s="38"/>
      <c r="M161" s="38"/>
      <c r="N161" s="45"/>
    </row>
    <row r="162" spans="1:14" ht="15" x14ac:dyDescent="0.2">
      <c r="A162" s="36"/>
      <c r="B162" s="716" t="s">
        <v>779</v>
      </c>
      <c r="C162" s="717"/>
      <c r="D162" s="717"/>
      <c r="E162" s="717"/>
      <c r="F162" s="717"/>
      <c r="G162" s="717"/>
      <c r="H162" s="717"/>
      <c r="I162" s="717"/>
      <c r="J162" s="717"/>
      <c r="K162" s="717"/>
      <c r="L162" s="717"/>
      <c r="M162" s="38"/>
      <c r="N162" s="45"/>
    </row>
    <row r="163" spans="1:14" ht="15" x14ac:dyDescent="0.2">
      <c r="A163" s="36"/>
      <c r="B163" s="209"/>
      <c r="C163" s="111" t="s">
        <v>323</v>
      </c>
      <c r="D163" s="716" t="s">
        <v>870</v>
      </c>
      <c r="E163" s="719"/>
      <c r="F163" s="719"/>
      <c r="G163" s="719"/>
      <c r="H163" s="719"/>
      <c r="I163" s="719"/>
      <c r="J163" s="719"/>
      <c r="K163" s="719"/>
      <c r="L163" s="719"/>
      <c r="M163" s="38"/>
      <c r="N163" s="45"/>
    </row>
    <row r="164" spans="1:14" ht="15" x14ac:dyDescent="0.2">
      <c r="A164" s="36"/>
      <c r="B164" s="209"/>
      <c r="C164" s="111" t="s">
        <v>323</v>
      </c>
      <c r="D164" s="716" t="s">
        <v>871</v>
      </c>
      <c r="E164" s="719"/>
      <c r="F164" s="719"/>
      <c r="G164" s="719"/>
      <c r="H164" s="719"/>
      <c r="I164" s="719"/>
      <c r="J164" s="719"/>
      <c r="K164" s="719"/>
      <c r="L164" s="719"/>
      <c r="M164" s="38"/>
      <c r="N164" s="45"/>
    </row>
    <row r="165" spans="1:14" ht="15" x14ac:dyDescent="0.2">
      <c r="A165" s="36"/>
      <c r="B165" s="209"/>
      <c r="C165" s="111" t="s">
        <v>323</v>
      </c>
      <c r="D165" s="209" t="s">
        <v>780</v>
      </c>
      <c r="E165" s="95"/>
      <c r="F165" s="95"/>
      <c r="G165" s="95"/>
      <c r="H165" s="95"/>
      <c r="I165" s="95"/>
      <c r="J165" s="95"/>
      <c r="K165" s="95"/>
      <c r="L165" s="95"/>
      <c r="M165" s="38"/>
      <c r="N165" s="45"/>
    </row>
    <row r="166" spans="1:14" ht="15" x14ac:dyDescent="0.2">
      <c r="A166" s="36"/>
      <c r="B166" s="209"/>
      <c r="C166" s="111" t="s">
        <v>323</v>
      </c>
      <c r="D166" s="209" t="s">
        <v>781</v>
      </c>
      <c r="E166" s="95"/>
      <c r="F166" s="95"/>
      <c r="G166" s="95"/>
      <c r="H166" s="95"/>
      <c r="I166" s="95"/>
      <c r="J166" s="95"/>
      <c r="K166" s="95"/>
      <c r="L166" s="95"/>
      <c r="M166" s="38"/>
      <c r="N166" s="45"/>
    </row>
    <row r="167" spans="1:14" ht="15" x14ac:dyDescent="0.2">
      <c r="A167" s="36"/>
      <c r="B167" s="209"/>
      <c r="C167" s="111" t="s">
        <v>323</v>
      </c>
      <c r="D167" s="209" t="s">
        <v>780</v>
      </c>
      <c r="E167" s="95"/>
      <c r="F167" s="95"/>
      <c r="G167" s="95"/>
      <c r="H167" s="95"/>
      <c r="I167" s="95"/>
      <c r="J167" s="95"/>
      <c r="K167" s="95"/>
      <c r="L167" s="95"/>
      <c r="M167" s="38"/>
      <c r="N167" s="45"/>
    </row>
    <row r="168" spans="1:14" ht="15" x14ac:dyDescent="0.2">
      <c r="A168" s="36"/>
      <c r="B168" s="209"/>
      <c r="C168" s="111"/>
      <c r="D168" s="209"/>
      <c r="E168" s="95"/>
      <c r="F168" s="95"/>
      <c r="G168" s="95"/>
      <c r="H168" s="95"/>
      <c r="I168" s="95"/>
      <c r="J168" s="95"/>
      <c r="K168" s="95"/>
      <c r="L168" s="95"/>
      <c r="M168" s="38"/>
      <c r="N168" s="45"/>
    </row>
    <row r="169" spans="1:14" ht="15" x14ac:dyDescent="0.2">
      <c r="A169" s="36"/>
      <c r="B169" s="716" t="s">
        <v>6</v>
      </c>
      <c r="C169" s="717"/>
      <c r="D169" s="717"/>
      <c r="E169" s="717"/>
      <c r="F169" s="717"/>
      <c r="G169" s="717"/>
      <c r="H169" s="717"/>
      <c r="I169" s="717"/>
      <c r="J169" s="717"/>
      <c r="K169" s="717"/>
      <c r="L169" s="717"/>
      <c r="M169" s="38"/>
      <c r="N169" s="45"/>
    </row>
    <row r="170" spans="1:14" ht="9.75" customHeight="1" x14ac:dyDescent="0.25">
      <c r="A170" s="36"/>
      <c r="B170" s="82"/>
      <c r="C170" s="101"/>
      <c r="D170" s="101"/>
      <c r="E170" s="96"/>
      <c r="F170" s="96"/>
      <c r="G170" s="96"/>
      <c r="H170" s="96"/>
      <c r="I170" s="96"/>
      <c r="J170" s="96"/>
      <c r="K170" s="38"/>
      <c r="L170" s="38"/>
      <c r="M170" s="38"/>
      <c r="N170" s="45"/>
    </row>
    <row r="171" spans="1:14" ht="15.75" x14ac:dyDescent="0.25">
      <c r="A171" s="36"/>
      <c r="B171" s="112" t="s">
        <v>872</v>
      </c>
      <c r="C171" s="101"/>
      <c r="D171" s="101"/>
      <c r="E171" s="96"/>
      <c r="F171" s="96"/>
      <c r="G171" s="96"/>
      <c r="H171" s="96"/>
      <c r="I171" s="96"/>
      <c r="J171" s="96"/>
      <c r="K171" s="38"/>
      <c r="L171" s="38"/>
      <c r="M171" s="38"/>
      <c r="N171" s="45"/>
    </row>
    <row r="172" spans="1:14" ht="15.75" x14ac:dyDescent="0.25">
      <c r="A172" s="36"/>
      <c r="B172" s="82" t="s">
        <v>873</v>
      </c>
      <c r="C172" s="101"/>
      <c r="D172" s="101"/>
      <c r="E172" s="96"/>
      <c r="F172" s="96"/>
      <c r="G172" s="96"/>
      <c r="H172" s="96"/>
      <c r="I172" s="96"/>
      <c r="J172" s="96"/>
      <c r="K172" s="38"/>
      <c r="L172" s="38"/>
      <c r="M172" s="38"/>
      <c r="N172" s="45"/>
    </row>
    <row r="173" spans="1:14" ht="15.75" x14ac:dyDescent="0.25">
      <c r="A173" s="36"/>
      <c r="B173" s="82" t="s">
        <v>893</v>
      </c>
      <c r="C173" s="101"/>
      <c r="D173" s="101"/>
      <c r="E173" s="96"/>
      <c r="F173" s="96"/>
      <c r="G173" s="96"/>
      <c r="H173" s="96"/>
      <c r="I173" s="96"/>
      <c r="J173" s="96"/>
      <c r="K173" s="38"/>
      <c r="L173" s="38"/>
      <c r="M173" s="38"/>
      <c r="N173" s="45"/>
    </row>
    <row r="174" spans="1:14" ht="9.75" customHeight="1" x14ac:dyDescent="0.25">
      <c r="A174" s="36"/>
      <c r="B174" s="82"/>
      <c r="C174" s="101"/>
      <c r="D174" s="101"/>
      <c r="E174" s="96"/>
      <c r="F174" s="96"/>
      <c r="G174" s="96"/>
      <c r="H174" s="96"/>
      <c r="I174" s="96"/>
      <c r="J174" s="96"/>
      <c r="K174" s="38"/>
      <c r="L174" s="38"/>
      <c r="M174" s="38"/>
      <c r="N174" s="45"/>
    </row>
    <row r="175" spans="1:14" ht="15.75" x14ac:dyDescent="0.25">
      <c r="A175" s="36"/>
      <c r="B175" s="112" t="s">
        <v>431</v>
      </c>
      <c r="C175" s="101"/>
      <c r="D175" s="101"/>
      <c r="E175" s="96"/>
      <c r="F175" s="96"/>
      <c r="G175" s="96"/>
      <c r="H175" s="96"/>
      <c r="I175" s="96"/>
      <c r="J175" s="96"/>
      <c r="K175" s="38"/>
      <c r="L175" s="38"/>
      <c r="M175" s="38"/>
      <c r="N175" s="45"/>
    </row>
    <row r="176" spans="1:14" ht="15" x14ac:dyDescent="0.2">
      <c r="A176" s="36"/>
      <c r="B176" s="716" t="s">
        <v>891</v>
      </c>
      <c r="C176" s="717"/>
      <c r="D176" s="717"/>
      <c r="E176" s="717"/>
      <c r="F176" s="717"/>
      <c r="G176" s="717"/>
      <c r="H176" s="717"/>
      <c r="I176" s="717"/>
      <c r="J176" s="717"/>
      <c r="K176" s="717"/>
      <c r="L176" s="717"/>
      <c r="M176" s="38"/>
      <c r="N176" s="45"/>
    </row>
    <row r="177" spans="1:14" ht="15" x14ac:dyDescent="0.2">
      <c r="A177" s="36"/>
      <c r="B177" s="716" t="s">
        <v>892</v>
      </c>
      <c r="C177" s="717"/>
      <c r="D177" s="717"/>
      <c r="E177" s="717"/>
      <c r="F177" s="717"/>
      <c r="G177" s="717"/>
      <c r="H177" s="717"/>
      <c r="I177" s="717"/>
      <c r="J177" s="717"/>
      <c r="K177" s="717"/>
      <c r="L177" s="717"/>
      <c r="M177" s="38"/>
      <c r="N177" s="45"/>
    </row>
    <row r="178" spans="1:14" ht="15" x14ac:dyDescent="0.2">
      <c r="A178" s="36"/>
      <c r="B178" s="209"/>
      <c r="C178" s="209"/>
      <c r="D178" s="209"/>
      <c r="E178" s="209"/>
      <c r="F178" s="209"/>
      <c r="G178" s="209"/>
      <c r="H178" s="209"/>
      <c r="I178" s="209"/>
      <c r="J178" s="209"/>
      <c r="K178" s="209"/>
      <c r="L178" s="209"/>
      <c r="M178" s="38"/>
      <c r="N178" s="45"/>
    </row>
    <row r="179" spans="1:14" ht="15" x14ac:dyDescent="0.2">
      <c r="A179" s="36"/>
      <c r="B179" s="209" t="s">
        <v>894</v>
      </c>
      <c r="C179" s="209"/>
      <c r="D179" s="209"/>
      <c r="E179" s="209"/>
      <c r="F179" s="209"/>
      <c r="G179" s="209"/>
      <c r="H179" s="209"/>
      <c r="I179" s="209"/>
      <c r="J179" s="209"/>
      <c r="K179" s="209"/>
      <c r="L179" s="209"/>
      <c r="M179" s="38"/>
      <c r="N179" s="45"/>
    </row>
    <row r="180" spans="1:14" ht="15.75" x14ac:dyDescent="0.25">
      <c r="A180" s="36"/>
      <c r="B180" s="82"/>
      <c r="C180" s="101"/>
      <c r="D180" s="101"/>
      <c r="E180" s="96"/>
      <c r="F180" s="96"/>
      <c r="G180" s="96"/>
      <c r="H180" s="96"/>
      <c r="I180" s="96"/>
      <c r="J180" s="96"/>
      <c r="K180" s="38"/>
      <c r="L180" s="38"/>
      <c r="M180" s="38"/>
      <c r="N180" s="45"/>
    </row>
    <row r="181" spans="1:14" ht="15.75" x14ac:dyDescent="0.25">
      <c r="A181" s="36"/>
      <c r="B181" s="371" t="s">
        <v>328</v>
      </c>
      <c r="C181" s="101"/>
      <c r="D181" s="101"/>
      <c r="E181" s="96"/>
      <c r="F181" s="96"/>
      <c r="G181" s="96"/>
      <c r="H181" s="96"/>
      <c r="I181" s="96"/>
      <c r="J181" s="96"/>
      <c r="K181" s="38"/>
      <c r="L181" s="38"/>
      <c r="M181" s="38"/>
      <c r="N181" s="45"/>
    </row>
    <row r="182" spans="1:14" ht="15" x14ac:dyDescent="0.2">
      <c r="A182" s="36"/>
      <c r="B182" s="716" t="s">
        <v>7</v>
      </c>
      <c r="C182" s="717"/>
      <c r="D182" s="717"/>
      <c r="E182" s="717"/>
      <c r="F182" s="717"/>
      <c r="G182" s="717"/>
      <c r="H182" s="717"/>
      <c r="I182" s="717"/>
      <c r="J182" s="717"/>
      <c r="K182" s="717"/>
      <c r="L182" s="717"/>
      <c r="M182" s="38"/>
      <c r="N182" s="45"/>
    </row>
    <row r="183" spans="1:14" ht="11.25" customHeight="1" x14ac:dyDescent="0.25">
      <c r="A183" s="36"/>
      <c r="B183" s="82"/>
      <c r="C183" s="101"/>
      <c r="D183" s="101"/>
      <c r="E183" s="96"/>
      <c r="F183" s="96"/>
      <c r="G183" s="96"/>
      <c r="H183" s="96"/>
      <c r="I183" s="96"/>
      <c r="J183" s="96"/>
      <c r="K183" s="38"/>
      <c r="L183" s="38"/>
      <c r="M183" s="38"/>
      <c r="N183" s="45"/>
    </row>
    <row r="184" spans="1:14" ht="17.25" customHeight="1" x14ac:dyDescent="0.25">
      <c r="A184" s="36"/>
      <c r="B184" s="84" t="s">
        <v>329</v>
      </c>
      <c r="C184" s="101"/>
      <c r="D184" s="101"/>
      <c r="E184" s="96"/>
      <c r="F184" s="96"/>
      <c r="G184" s="96"/>
      <c r="H184" s="96"/>
      <c r="I184" s="96"/>
      <c r="J184" s="96"/>
      <c r="K184" s="96"/>
      <c r="L184" s="96"/>
      <c r="M184" s="96"/>
      <c r="N184" s="45"/>
    </row>
    <row r="185" spans="1:14" ht="17.25" customHeight="1" x14ac:dyDescent="0.2">
      <c r="A185" s="36"/>
      <c r="B185" s="716" t="s">
        <v>896</v>
      </c>
      <c r="C185" s="717"/>
      <c r="D185" s="717"/>
      <c r="E185" s="717"/>
      <c r="F185" s="717"/>
      <c r="G185" s="717"/>
      <c r="H185" s="717"/>
      <c r="I185" s="717"/>
      <c r="J185" s="717"/>
      <c r="K185" s="717"/>
      <c r="L185" s="717"/>
      <c r="M185" s="96"/>
      <c r="N185" s="45"/>
    </row>
    <row r="186" spans="1:14" ht="18" customHeight="1" x14ac:dyDescent="0.2">
      <c r="A186" s="36"/>
      <c r="B186" s="716" t="s">
        <v>895</v>
      </c>
      <c r="C186" s="717"/>
      <c r="D186" s="717"/>
      <c r="E186" s="717"/>
      <c r="F186" s="717"/>
      <c r="G186" s="717"/>
      <c r="H186" s="717"/>
      <c r="I186" s="717"/>
      <c r="J186" s="717"/>
      <c r="K186" s="717"/>
      <c r="L186" s="717"/>
      <c r="M186" s="96"/>
      <c r="N186" s="45"/>
    </row>
    <row r="187" spans="1:14" ht="18" customHeight="1" x14ac:dyDescent="0.2">
      <c r="A187" s="36"/>
      <c r="B187" s="716" t="s">
        <v>897</v>
      </c>
      <c r="C187" s="717"/>
      <c r="D187" s="717"/>
      <c r="E187" s="717"/>
      <c r="F187" s="717"/>
      <c r="G187" s="717"/>
      <c r="H187" s="717"/>
      <c r="I187" s="717"/>
      <c r="J187" s="717"/>
      <c r="K187" s="717"/>
      <c r="L187" s="717"/>
      <c r="M187" s="96"/>
      <c r="N187" s="45"/>
    </row>
    <row r="188" spans="1:14" ht="15.75" x14ac:dyDescent="0.25">
      <c r="A188" s="36"/>
      <c r="B188" s="82"/>
      <c r="C188" s="101"/>
      <c r="D188" s="101"/>
      <c r="E188" s="96"/>
      <c r="F188" s="96"/>
      <c r="G188" s="96"/>
      <c r="H188" s="96"/>
      <c r="I188" s="96"/>
      <c r="J188" s="96"/>
      <c r="K188" s="38"/>
      <c r="L188" s="38"/>
      <c r="M188" s="38"/>
      <c r="N188" s="45"/>
    </row>
    <row r="189" spans="1:14" ht="9.75" customHeight="1" x14ac:dyDescent="0.2">
      <c r="A189" s="36"/>
      <c r="B189" s="98"/>
      <c r="C189" s="98"/>
      <c r="D189" s="31"/>
      <c r="E189" s="99"/>
      <c r="F189" s="99"/>
      <c r="G189" s="99"/>
      <c r="H189" s="99"/>
      <c r="I189" s="99"/>
      <c r="J189" s="99"/>
      <c r="K189" s="32"/>
      <c r="L189" s="32"/>
      <c r="M189" s="32"/>
      <c r="N189" s="71"/>
    </row>
    <row r="190" spans="1:14" ht="20.25" x14ac:dyDescent="0.3">
      <c r="A190" s="38"/>
      <c r="B190" s="187" t="s">
        <v>435</v>
      </c>
      <c r="C190" s="101"/>
      <c r="D190" s="101"/>
      <c r="E190" s="96"/>
      <c r="F190" s="96"/>
      <c r="G190" s="96"/>
      <c r="H190" s="96"/>
      <c r="I190" s="96"/>
      <c r="J190" s="96"/>
      <c r="K190" s="38"/>
      <c r="L190" s="38"/>
      <c r="M190" s="38"/>
      <c r="N190" s="45"/>
    </row>
    <row r="191" spans="1:14" ht="9.75" customHeight="1" x14ac:dyDescent="0.25">
      <c r="A191" s="36"/>
      <c r="B191" s="100"/>
      <c r="C191" s="101"/>
      <c r="D191" s="101"/>
      <c r="E191" s="96"/>
      <c r="F191" s="96"/>
      <c r="G191" s="96"/>
      <c r="H191" s="96"/>
      <c r="I191" s="96"/>
      <c r="J191" s="96"/>
      <c r="K191" s="38"/>
      <c r="L191" s="38"/>
      <c r="M191" s="38"/>
      <c r="N191" s="45"/>
    </row>
    <row r="192" spans="1:14" ht="15" x14ac:dyDescent="0.2">
      <c r="A192" s="36"/>
      <c r="B192" s="716" t="s">
        <v>875</v>
      </c>
      <c r="C192" s="717"/>
      <c r="D192" s="717"/>
      <c r="E192" s="717"/>
      <c r="F192" s="717"/>
      <c r="G192" s="717"/>
      <c r="H192" s="717"/>
      <c r="I192" s="717"/>
      <c r="J192" s="717"/>
      <c r="K192" s="717"/>
      <c r="L192" s="717"/>
      <c r="M192" s="38"/>
      <c r="N192" s="45"/>
    </row>
    <row r="193" spans="1:14" ht="15" x14ac:dyDescent="0.2">
      <c r="A193" s="36"/>
      <c r="B193" s="716" t="s">
        <v>876</v>
      </c>
      <c r="C193" s="717"/>
      <c r="D193" s="717"/>
      <c r="E193" s="717"/>
      <c r="F193" s="717"/>
      <c r="G193" s="717"/>
      <c r="H193" s="717"/>
      <c r="I193" s="717"/>
      <c r="J193" s="717"/>
      <c r="K193" s="717"/>
      <c r="L193" s="717"/>
      <c r="M193" s="38"/>
      <c r="N193" s="45"/>
    </row>
    <row r="194" spans="1:14" ht="15.75" x14ac:dyDescent="0.25">
      <c r="A194" s="36"/>
      <c r="B194" s="82"/>
      <c r="C194" s="101"/>
      <c r="D194" s="101"/>
      <c r="E194" s="96"/>
      <c r="F194" s="96"/>
      <c r="G194" s="96"/>
      <c r="H194" s="96"/>
      <c r="I194" s="96"/>
      <c r="J194" s="96"/>
      <c r="K194" s="38"/>
      <c r="L194" s="38"/>
      <c r="M194" s="38"/>
      <c r="N194" s="45"/>
    </row>
    <row r="195" spans="1:14" ht="15" x14ac:dyDescent="0.2">
      <c r="A195" s="36"/>
      <c r="B195" s="716" t="s">
        <v>874</v>
      </c>
      <c r="C195" s="721"/>
      <c r="D195" s="721"/>
      <c r="E195" s="721"/>
      <c r="F195" s="721"/>
      <c r="G195" s="721"/>
      <c r="H195" s="721"/>
      <c r="I195" s="721"/>
      <c r="J195" s="721"/>
      <c r="K195" s="721"/>
      <c r="L195" s="721"/>
      <c r="M195" s="38"/>
      <c r="N195" s="45"/>
    </row>
    <row r="196" spans="1:14" ht="15" x14ac:dyDescent="0.2">
      <c r="A196" s="36"/>
      <c r="B196" s="716" t="s">
        <v>491</v>
      </c>
      <c r="C196" s="717"/>
      <c r="D196" s="717"/>
      <c r="E196" s="717"/>
      <c r="F196" s="717"/>
      <c r="G196" s="717"/>
      <c r="H196" s="717"/>
      <c r="I196" s="717"/>
      <c r="J196" s="717"/>
      <c r="K196" s="717"/>
      <c r="L196" s="717"/>
      <c r="M196" s="38"/>
      <c r="N196" s="45"/>
    </row>
    <row r="197" spans="1:14" ht="15" x14ac:dyDescent="0.2">
      <c r="A197" s="36"/>
      <c r="B197" s="716" t="s">
        <v>492</v>
      </c>
      <c r="C197" s="717"/>
      <c r="D197" s="717"/>
      <c r="E197" s="717"/>
      <c r="F197" s="717"/>
      <c r="G197" s="717"/>
      <c r="H197" s="717"/>
      <c r="I197" s="717"/>
      <c r="J197" s="717"/>
      <c r="K197" s="717"/>
      <c r="L197" s="717"/>
      <c r="M197" s="38"/>
      <c r="N197" s="45"/>
    </row>
    <row r="198" spans="1:14" ht="15" x14ac:dyDescent="0.2">
      <c r="A198" s="36"/>
      <c r="B198" s="716"/>
      <c r="C198" s="717"/>
      <c r="D198" s="717"/>
      <c r="E198" s="717"/>
      <c r="F198" s="717"/>
      <c r="G198" s="717"/>
      <c r="H198" s="717"/>
      <c r="I198" s="717"/>
      <c r="J198" s="717"/>
      <c r="K198" s="717"/>
      <c r="L198" s="717"/>
      <c r="M198" s="38"/>
      <c r="N198" s="45"/>
    </row>
    <row r="199" spans="1:14" ht="15" x14ac:dyDescent="0.2">
      <c r="A199" s="36"/>
      <c r="B199" s="716" t="s">
        <v>493</v>
      </c>
      <c r="C199" s="717"/>
      <c r="D199" s="717"/>
      <c r="E199" s="717"/>
      <c r="F199" s="717"/>
      <c r="G199" s="717"/>
      <c r="H199" s="717"/>
      <c r="I199" s="717"/>
      <c r="J199" s="717"/>
      <c r="K199" s="717"/>
      <c r="L199" s="717"/>
      <c r="M199" s="38"/>
      <c r="N199" s="45"/>
    </row>
    <row r="200" spans="1:14" ht="15" x14ac:dyDescent="0.2">
      <c r="A200" s="36"/>
      <c r="B200" s="209" t="s">
        <v>494</v>
      </c>
      <c r="C200" s="96"/>
      <c r="D200" s="96"/>
      <c r="E200" s="96"/>
      <c r="F200" s="96"/>
      <c r="G200" s="96"/>
      <c r="H200" s="96"/>
      <c r="I200" s="96"/>
      <c r="J200" s="96"/>
      <c r="K200" s="96"/>
      <c r="L200" s="96"/>
      <c r="M200" s="38"/>
      <c r="N200" s="45"/>
    </row>
    <row r="201" spans="1:14" ht="15" x14ac:dyDescent="0.2">
      <c r="A201" s="36"/>
      <c r="B201" s="716" t="s">
        <v>782</v>
      </c>
      <c r="C201" s="717"/>
      <c r="D201" s="717"/>
      <c r="E201" s="717"/>
      <c r="F201" s="717"/>
      <c r="G201" s="717"/>
      <c r="H201" s="717"/>
      <c r="I201" s="717"/>
      <c r="J201" s="717"/>
      <c r="K201" s="717"/>
      <c r="L201" s="717"/>
      <c r="M201" s="38"/>
      <c r="N201" s="45"/>
    </row>
    <row r="202" spans="1:14" ht="15.75" x14ac:dyDescent="0.25">
      <c r="A202" s="36"/>
      <c r="B202" s="82"/>
      <c r="C202" s="101"/>
      <c r="D202" s="101"/>
      <c r="E202" s="96"/>
      <c r="F202" s="96"/>
      <c r="G202" s="96"/>
      <c r="H202" s="96"/>
      <c r="I202" s="96"/>
      <c r="J202" s="96"/>
      <c r="K202" s="38"/>
      <c r="L202" s="38"/>
      <c r="M202" s="38"/>
      <c r="N202" s="45"/>
    </row>
    <row r="203" spans="1:14" ht="9.75" customHeight="1" x14ac:dyDescent="0.25">
      <c r="A203" s="36"/>
      <c r="B203" s="32"/>
      <c r="C203" s="198"/>
      <c r="D203" s="198"/>
      <c r="E203" s="99"/>
      <c r="F203" s="99"/>
      <c r="G203" s="99"/>
      <c r="H203" s="99"/>
      <c r="I203" s="99"/>
      <c r="J203" s="99"/>
      <c r="K203" s="99"/>
      <c r="L203" s="99"/>
      <c r="M203" s="99"/>
      <c r="N203" s="71"/>
    </row>
    <row r="204" spans="1:14" ht="20.25" x14ac:dyDescent="0.3">
      <c r="A204" s="38"/>
      <c r="B204" s="187" t="s">
        <v>474</v>
      </c>
      <c r="C204" s="101"/>
      <c r="D204" s="101"/>
      <c r="E204" s="96"/>
      <c r="F204" s="96"/>
      <c r="G204" s="96"/>
      <c r="H204" s="96"/>
      <c r="I204" s="96"/>
      <c r="J204" s="96"/>
      <c r="K204" s="96"/>
      <c r="L204" s="96"/>
      <c r="M204" s="96"/>
      <c r="N204" s="45"/>
    </row>
    <row r="205" spans="1:14" ht="9.75" customHeight="1" x14ac:dyDescent="0.3">
      <c r="A205" s="36"/>
      <c r="B205" s="187"/>
      <c r="C205" s="101"/>
      <c r="D205" s="101"/>
      <c r="E205" s="96"/>
      <c r="F205" s="96"/>
      <c r="G205" s="96"/>
      <c r="H205" s="96"/>
      <c r="I205" s="96"/>
      <c r="J205" s="96"/>
      <c r="K205" s="96"/>
      <c r="L205" s="96"/>
      <c r="M205" s="96"/>
      <c r="N205" s="45"/>
    </row>
    <row r="206" spans="1:14" ht="15" x14ac:dyDescent="0.2">
      <c r="A206" s="36"/>
      <c r="B206" s="716" t="s">
        <v>467</v>
      </c>
      <c r="C206" s="717"/>
      <c r="D206" s="717"/>
      <c r="E206" s="717"/>
      <c r="F206" s="717"/>
      <c r="G206" s="717"/>
      <c r="H206" s="717"/>
      <c r="I206" s="717"/>
      <c r="J206" s="717"/>
      <c r="K206" s="717"/>
      <c r="L206" s="717"/>
      <c r="M206" s="96"/>
      <c r="N206" s="45"/>
    </row>
    <row r="207" spans="1:14" ht="15" x14ac:dyDescent="0.2">
      <c r="A207" s="36"/>
      <c r="B207" s="716" t="s">
        <v>495</v>
      </c>
      <c r="C207" s="717"/>
      <c r="D207" s="717"/>
      <c r="E207" s="717"/>
      <c r="F207" s="717"/>
      <c r="G207" s="717"/>
      <c r="H207" s="717"/>
      <c r="I207" s="717"/>
      <c r="J207" s="717"/>
      <c r="K207" s="717"/>
      <c r="L207" s="717"/>
      <c r="M207" s="96"/>
      <c r="N207" s="45"/>
    </row>
    <row r="208" spans="1:14" ht="15.75" x14ac:dyDescent="0.25">
      <c r="A208" s="36"/>
      <c r="B208" s="82"/>
      <c r="C208" s="101"/>
      <c r="D208" s="101"/>
      <c r="E208" s="96"/>
      <c r="F208" s="96"/>
      <c r="G208" s="96"/>
      <c r="H208" s="96"/>
      <c r="I208" s="96"/>
      <c r="J208" s="96"/>
      <c r="K208" s="96"/>
      <c r="L208" s="96"/>
      <c r="M208" s="96"/>
      <c r="N208" s="45"/>
    </row>
    <row r="209" spans="1:14" ht="17.25" customHeight="1" x14ac:dyDescent="0.2">
      <c r="A209" s="36"/>
      <c r="B209" s="718" t="s">
        <v>783</v>
      </c>
      <c r="C209" s="717"/>
      <c r="D209" s="717"/>
      <c r="E209" s="717"/>
      <c r="F209" s="717"/>
      <c r="G209" s="717"/>
      <c r="H209" s="717"/>
      <c r="I209" s="717"/>
      <c r="J209" s="717"/>
      <c r="K209" s="717"/>
      <c r="L209" s="717"/>
      <c r="M209" s="96"/>
      <c r="N209" s="45"/>
    </row>
    <row r="210" spans="1:14" ht="15.75" x14ac:dyDescent="0.25">
      <c r="A210" s="36"/>
      <c r="B210" s="188"/>
      <c r="C210" s="101"/>
      <c r="D210" s="101"/>
      <c r="E210" s="96"/>
      <c r="F210" s="96"/>
      <c r="G210" s="96"/>
      <c r="H210" s="96"/>
      <c r="I210" s="96"/>
      <c r="J210" s="96"/>
      <c r="K210" s="96"/>
      <c r="L210" s="96"/>
      <c r="M210" s="96"/>
      <c r="N210" s="45"/>
    </row>
    <row r="211" spans="1:14" ht="15" x14ac:dyDescent="0.2">
      <c r="A211" s="36"/>
      <c r="B211" s="716" t="s">
        <v>784</v>
      </c>
      <c r="C211" s="717"/>
      <c r="D211" s="717"/>
      <c r="E211" s="717"/>
      <c r="F211" s="717"/>
      <c r="G211" s="717"/>
      <c r="H211" s="717"/>
      <c r="I211" s="717"/>
      <c r="J211" s="717"/>
      <c r="K211" s="717"/>
      <c r="L211" s="717"/>
      <c r="M211" s="96"/>
      <c r="N211" s="45"/>
    </row>
    <row r="212" spans="1:14" ht="15.75" x14ac:dyDescent="0.25">
      <c r="A212" s="36"/>
      <c r="B212" s="82"/>
      <c r="C212" s="101"/>
      <c r="D212" s="101"/>
      <c r="E212" s="96"/>
      <c r="F212" s="96"/>
      <c r="G212" s="96"/>
      <c r="H212" s="96"/>
      <c r="I212" s="96"/>
      <c r="J212" s="96"/>
      <c r="K212" s="96"/>
      <c r="L212" s="96"/>
      <c r="M212" s="96"/>
      <c r="N212" s="45"/>
    </row>
    <row r="213" spans="1:14" ht="15" x14ac:dyDescent="0.2">
      <c r="A213" s="36"/>
      <c r="B213" s="716" t="s">
        <v>521</v>
      </c>
      <c r="C213" s="717"/>
      <c r="D213" s="717"/>
      <c r="E213" s="717"/>
      <c r="F213" s="717"/>
      <c r="G213" s="717"/>
      <c r="H213" s="717"/>
      <c r="I213" s="717"/>
      <c r="J213" s="717"/>
      <c r="K213" s="717"/>
      <c r="L213" s="717"/>
      <c r="M213" s="96"/>
      <c r="N213" s="45"/>
    </row>
    <row r="214" spans="1:14" ht="15" x14ac:dyDescent="0.2">
      <c r="A214" s="36"/>
      <c r="B214" s="716" t="s">
        <v>522</v>
      </c>
      <c r="C214" s="717"/>
      <c r="D214" s="717"/>
      <c r="E214" s="717"/>
      <c r="F214" s="717"/>
      <c r="G214" s="717"/>
      <c r="H214" s="717"/>
      <c r="I214" s="717"/>
      <c r="J214" s="717"/>
      <c r="K214" s="717"/>
      <c r="L214" s="717"/>
      <c r="M214" s="96"/>
      <c r="N214" s="45"/>
    </row>
    <row r="215" spans="1:14" ht="15.75" x14ac:dyDescent="0.25">
      <c r="A215" s="36"/>
      <c r="B215" s="101"/>
      <c r="C215" s="101"/>
      <c r="D215" s="101"/>
      <c r="E215" s="96"/>
      <c r="F215" s="96"/>
      <c r="G215" s="96"/>
      <c r="H215" s="96"/>
      <c r="I215" s="96"/>
      <c r="J215" s="96"/>
      <c r="K215" s="96"/>
      <c r="L215" s="96"/>
      <c r="M215" s="96"/>
      <c r="N215" s="45"/>
    </row>
    <row r="216" spans="1:14" ht="15.75" x14ac:dyDescent="0.25">
      <c r="A216" s="36"/>
      <c r="B216" s="82" t="s">
        <v>475</v>
      </c>
      <c r="C216" s="101"/>
      <c r="D216" s="101"/>
      <c r="E216" s="96"/>
      <c r="F216" s="96"/>
      <c r="G216" s="96"/>
      <c r="H216" s="96"/>
      <c r="I216" s="96"/>
      <c r="J216" s="96"/>
      <c r="K216" s="96"/>
      <c r="L216" s="96"/>
      <c r="M216" s="96"/>
      <c r="N216" s="45"/>
    </row>
    <row r="217" spans="1:14" ht="15" x14ac:dyDescent="0.2">
      <c r="A217" s="36"/>
      <c r="B217" s="716" t="s">
        <v>523</v>
      </c>
      <c r="C217" s="717"/>
      <c r="D217" s="717"/>
      <c r="E217" s="717"/>
      <c r="F217" s="717"/>
      <c r="G217" s="717"/>
      <c r="H217" s="717"/>
      <c r="I217" s="717"/>
      <c r="J217" s="717"/>
      <c r="K217" s="717"/>
      <c r="L217" s="717"/>
      <c r="M217" s="96"/>
      <c r="N217" s="45"/>
    </row>
    <row r="218" spans="1:14" ht="15.75" x14ac:dyDescent="0.25">
      <c r="A218" s="36"/>
      <c r="B218" s="82"/>
      <c r="C218" s="101"/>
      <c r="D218" s="101"/>
      <c r="E218" s="96"/>
      <c r="F218" s="96"/>
      <c r="G218" s="96"/>
      <c r="H218" s="96"/>
      <c r="I218" s="96"/>
      <c r="J218" s="96"/>
      <c r="K218" s="96"/>
      <c r="L218" s="96"/>
      <c r="M218" s="96"/>
      <c r="N218" s="45"/>
    </row>
    <row r="219" spans="1:14" ht="15.75" x14ac:dyDescent="0.25">
      <c r="A219" s="36"/>
      <c r="B219" s="188" t="s">
        <v>496</v>
      </c>
      <c r="C219" s="101"/>
      <c r="D219" s="101"/>
      <c r="E219" s="96"/>
      <c r="F219" s="96"/>
      <c r="G219" s="96"/>
      <c r="H219" s="96"/>
      <c r="I219" s="96"/>
      <c r="J219" s="96"/>
      <c r="K219" s="96"/>
      <c r="L219" s="96"/>
      <c r="M219" s="96"/>
      <c r="N219" s="45"/>
    </row>
    <row r="220" spans="1:14" ht="15.75" x14ac:dyDescent="0.25">
      <c r="A220" s="36"/>
      <c r="B220" s="188" t="s">
        <v>497</v>
      </c>
      <c r="C220" s="101"/>
      <c r="D220" s="101"/>
      <c r="E220" s="96"/>
      <c r="F220" s="96"/>
      <c r="G220" s="96"/>
      <c r="H220" s="96"/>
      <c r="I220" s="96"/>
      <c r="J220" s="96"/>
      <c r="K220" s="96"/>
      <c r="L220" s="96"/>
      <c r="M220" s="96"/>
      <c r="N220" s="45"/>
    </row>
    <row r="221" spans="1:14" ht="15.75" x14ac:dyDescent="0.25">
      <c r="A221" s="36"/>
      <c r="B221" s="188"/>
      <c r="C221" s="101"/>
      <c r="D221" s="101"/>
      <c r="E221" s="96"/>
      <c r="F221" s="96"/>
      <c r="G221" s="96"/>
      <c r="H221" s="96"/>
      <c r="I221" s="96"/>
      <c r="J221" s="96"/>
      <c r="K221" s="96"/>
      <c r="L221" s="96"/>
      <c r="M221" s="96"/>
      <c r="N221" s="45"/>
    </row>
    <row r="222" spans="1:14" ht="9.75" customHeight="1" x14ac:dyDescent="0.25">
      <c r="A222" s="36"/>
      <c r="B222" s="32"/>
      <c r="C222" s="198"/>
      <c r="D222" s="198"/>
      <c r="E222" s="99"/>
      <c r="F222" s="99"/>
      <c r="G222" s="99"/>
      <c r="H222" s="99"/>
      <c r="I222" s="99"/>
      <c r="J222" s="99"/>
      <c r="K222" s="99"/>
      <c r="L222" s="99"/>
      <c r="M222" s="99"/>
      <c r="N222" s="71"/>
    </row>
    <row r="223" spans="1:14" ht="20.25" x14ac:dyDescent="0.3">
      <c r="A223" s="38"/>
      <c r="B223" s="187" t="s">
        <v>711</v>
      </c>
      <c r="C223" s="101"/>
      <c r="D223" s="101"/>
      <c r="E223" s="96"/>
      <c r="F223" s="96"/>
      <c r="G223" s="96"/>
      <c r="H223" s="96"/>
      <c r="I223" s="96"/>
      <c r="J223" s="96"/>
      <c r="K223" s="96"/>
      <c r="L223" s="96"/>
      <c r="M223" s="96"/>
      <c r="N223" s="45"/>
    </row>
    <row r="224" spans="1:14" ht="9.75" customHeight="1" x14ac:dyDescent="0.3">
      <c r="A224" s="36"/>
      <c r="B224" s="187"/>
      <c r="C224" s="101"/>
      <c r="D224" s="101"/>
      <c r="E224" s="96"/>
      <c r="F224" s="96"/>
      <c r="G224" s="96"/>
      <c r="H224" s="96"/>
      <c r="I224" s="96"/>
      <c r="J224" s="96"/>
      <c r="K224" s="96"/>
      <c r="L224" s="96"/>
      <c r="M224" s="96"/>
      <c r="N224" s="45"/>
    </row>
    <row r="225" spans="1:14" ht="15" x14ac:dyDescent="0.2">
      <c r="A225" s="36"/>
      <c r="B225" s="716" t="s">
        <v>712</v>
      </c>
      <c r="C225" s="717"/>
      <c r="D225" s="717"/>
      <c r="E225" s="717"/>
      <c r="F225" s="717"/>
      <c r="G225" s="717"/>
      <c r="H225" s="717"/>
      <c r="I225" s="717"/>
      <c r="J225" s="717"/>
      <c r="K225" s="717"/>
      <c r="L225" s="717"/>
      <c r="M225" s="96"/>
      <c r="N225" s="45"/>
    </row>
    <row r="226" spans="1:14" ht="15" x14ac:dyDescent="0.2">
      <c r="A226" s="36"/>
      <c r="B226" s="716" t="s">
        <v>713</v>
      </c>
      <c r="C226" s="717"/>
      <c r="D226" s="717"/>
      <c r="E226" s="717"/>
      <c r="F226" s="717"/>
      <c r="G226" s="717"/>
      <c r="H226" s="717"/>
      <c r="I226" s="717"/>
      <c r="J226" s="717"/>
      <c r="K226" s="717"/>
      <c r="L226" s="717"/>
      <c r="M226" s="96"/>
      <c r="N226" s="45"/>
    </row>
    <row r="227" spans="1:14" ht="15.75" x14ac:dyDescent="0.25">
      <c r="A227" s="36"/>
      <c r="B227" s="82"/>
      <c r="C227" s="101"/>
      <c r="D227" s="101"/>
      <c r="E227" s="96"/>
      <c r="F227" s="96"/>
      <c r="G227" s="96"/>
      <c r="H227" s="96"/>
      <c r="I227" s="96"/>
      <c r="J227" s="96"/>
      <c r="K227" s="96"/>
      <c r="L227" s="96"/>
      <c r="M227" s="96"/>
      <c r="N227" s="45"/>
    </row>
    <row r="228" spans="1:14" ht="17.25" customHeight="1" x14ac:dyDescent="0.2">
      <c r="A228" s="36"/>
      <c r="B228" s="718" t="s">
        <v>783</v>
      </c>
      <c r="C228" s="717"/>
      <c r="D228" s="717"/>
      <c r="E228" s="717"/>
      <c r="F228" s="717"/>
      <c r="G228" s="717"/>
      <c r="H228" s="717"/>
      <c r="I228" s="717"/>
      <c r="J228" s="717"/>
      <c r="K228" s="717"/>
      <c r="L228" s="717"/>
      <c r="M228" s="96"/>
      <c r="N228" s="45"/>
    </row>
    <row r="229" spans="1:14" ht="15.75" x14ac:dyDescent="0.25">
      <c r="A229" s="36"/>
      <c r="B229" s="188"/>
      <c r="C229" s="101"/>
      <c r="D229" s="101"/>
      <c r="E229" s="96"/>
      <c r="F229" s="96"/>
      <c r="G229" s="96"/>
      <c r="H229" s="96"/>
      <c r="I229" s="96"/>
      <c r="J229" s="96"/>
      <c r="K229" s="96"/>
      <c r="L229" s="96"/>
      <c r="M229" s="96"/>
      <c r="N229" s="45"/>
    </row>
    <row r="230" spans="1:14" ht="15" x14ac:dyDescent="0.2">
      <c r="A230" s="36"/>
      <c r="B230" s="716" t="s">
        <v>877</v>
      </c>
      <c r="C230" s="717"/>
      <c r="D230" s="717"/>
      <c r="E230" s="717"/>
      <c r="F230" s="717"/>
      <c r="G230" s="717"/>
      <c r="H230" s="717"/>
      <c r="I230" s="717"/>
      <c r="J230" s="717"/>
      <c r="K230" s="717"/>
      <c r="L230" s="717"/>
      <c r="M230" s="96"/>
      <c r="N230" s="45"/>
    </row>
    <row r="231" spans="1:14" ht="15" x14ac:dyDescent="0.2">
      <c r="A231" s="36"/>
      <c r="B231" s="716" t="s">
        <v>878</v>
      </c>
      <c r="C231" s="717"/>
      <c r="D231" s="717"/>
      <c r="E231" s="717"/>
      <c r="F231" s="717"/>
      <c r="G231" s="717"/>
      <c r="H231" s="717"/>
      <c r="I231" s="717"/>
      <c r="J231" s="717"/>
      <c r="K231" s="717"/>
      <c r="L231" s="717"/>
      <c r="M231" s="96"/>
      <c r="N231" s="45"/>
    </row>
    <row r="232" spans="1:14" ht="15.75" x14ac:dyDescent="0.25">
      <c r="A232" s="36"/>
      <c r="B232" s="82"/>
      <c r="C232" s="101"/>
      <c r="D232" s="101"/>
      <c r="E232" s="96"/>
      <c r="F232" s="96"/>
      <c r="G232" s="96"/>
      <c r="H232" s="96"/>
      <c r="I232" s="96"/>
      <c r="J232" s="96"/>
      <c r="K232" s="96"/>
      <c r="L232" s="96"/>
      <c r="M232" s="96"/>
      <c r="N232" s="45"/>
    </row>
    <row r="233" spans="1:14" ht="15" x14ac:dyDescent="0.2">
      <c r="A233" s="36"/>
      <c r="B233" s="716" t="s">
        <v>714</v>
      </c>
      <c r="C233" s="717"/>
      <c r="D233" s="717"/>
      <c r="E233" s="717"/>
      <c r="F233" s="717"/>
      <c r="G233" s="717"/>
      <c r="H233" s="717"/>
      <c r="I233" s="717"/>
      <c r="J233" s="717"/>
      <c r="K233" s="717"/>
      <c r="L233" s="717"/>
      <c r="M233" s="96"/>
      <c r="N233" s="45"/>
    </row>
    <row r="234" spans="1:14" ht="15" x14ac:dyDescent="0.2">
      <c r="A234" s="36"/>
      <c r="B234" s="716" t="s">
        <v>716</v>
      </c>
      <c r="C234" s="717"/>
      <c r="D234" s="717"/>
      <c r="E234" s="717"/>
      <c r="F234" s="717"/>
      <c r="G234" s="717"/>
      <c r="H234" s="717"/>
      <c r="I234" s="717"/>
      <c r="J234" s="717"/>
      <c r="K234" s="717"/>
      <c r="L234" s="717"/>
      <c r="M234" s="96"/>
      <c r="N234" s="45"/>
    </row>
    <row r="235" spans="1:14" ht="15.75" x14ac:dyDescent="0.25">
      <c r="A235" s="36"/>
      <c r="B235" s="101"/>
      <c r="C235" s="101"/>
      <c r="D235" s="101"/>
      <c r="E235" s="96"/>
      <c r="F235" s="96"/>
      <c r="G235" s="96"/>
      <c r="H235" s="96"/>
      <c r="I235" s="96"/>
      <c r="J235" s="96"/>
      <c r="K235" s="96"/>
      <c r="L235" s="96"/>
      <c r="M235" s="96"/>
      <c r="N235" s="45"/>
    </row>
    <row r="236" spans="1:14" ht="15.75" x14ac:dyDescent="0.25">
      <c r="A236" s="36"/>
      <c r="B236" s="82" t="s">
        <v>475</v>
      </c>
      <c r="C236" s="101"/>
      <c r="D236" s="101"/>
      <c r="E236" s="96"/>
      <c r="F236" s="96"/>
      <c r="G236" s="96"/>
      <c r="H236" s="96"/>
      <c r="I236" s="96"/>
      <c r="J236" s="96"/>
      <c r="K236" s="96"/>
      <c r="L236" s="96"/>
      <c r="M236" s="96"/>
      <c r="N236" s="45"/>
    </row>
    <row r="237" spans="1:14" ht="15" x14ac:dyDescent="0.2">
      <c r="A237" s="36"/>
      <c r="B237" s="716" t="s">
        <v>715</v>
      </c>
      <c r="C237" s="717"/>
      <c r="D237" s="717"/>
      <c r="E237" s="717"/>
      <c r="F237" s="717"/>
      <c r="G237" s="717"/>
      <c r="H237" s="717"/>
      <c r="I237" s="717"/>
      <c r="J237" s="717"/>
      <c r="K237" s="717"/>
      <c r="L237" s="717"/>
      <c r="M237" s="96"/>
      <c r="N237" s="45"/>
    </row>
    <row r="238" spans="1:14" ht="15.75" x14ac:dyDescent="0.25">
      <c r="A238" s="36"/>
      <c r="B238" s="82"/>
      <c r="C238" s="101"/>
      <c r="D238" s="101"/>
      <c r="E238" s="96"/>
      <c r="F238" s="96"/>
      <c r="G238" s="96"/>
      <c r="H238" s="96"/>
      <c r="I238" s="96"/>
      <c r="J238" s="96"/>
      <c r="K238" s="96"/>
      <c r="L238" s="96"/>
      <c r="M238" s="96"/>
      <c r="N238" s="45"/>
    </row>
    <row r="239" spans="1:14" ht="15.75" x14ac:dyDescent="0.25">
      <c r="A239" s="36"/>
      <c r="B239" s="188" t="s">
        <v>496</v>
      </c>
      <c r="C239" s="101"/>
      <c r="D239" s="101"/>
      <c r="E239" s="96"/>
      <c r="F239" s="96"/>
      <c r="G239" s="96"/>
      <c r="H239" s="96"/>
      <c r="I239" s="96"/>
      <c r="J239" s="96"/>
      <c r="K239" s="96"/>
      <c r="L239" s="96"/>
      <c r="M239" s="96"/>
      <c r="N239" s="45"/>
    </row>
    <row r="240" spans="1:14" ht="15.75" x14ac:dyDescent="0.25">
      <c r="A240" s="36"/>
      <c r="B240" s="188" t="s">
        <v>497</v>
      </c>
      <c r="C240" s="101"/>
      <c r="D240" s="101"/>
      <c r="E240" s="96"/>
      <c r="F240" s="96"/>
      <c r="G240" s="96"/>
      <c r="H240" s="96"/>
      <c r="I240" s="96"/>
      <c r="J240" s="96"/>
      <c r="K240" s="96"/>
      <c r="L240" s="96"/>
      <c r="M240" s="96"/>
      <c r="N240" s="45"/>
    </row>
    <row r="241" spans="1:14" ht="15.75" thickBot="1" x14ac:dyDescent="0.25">
      <c r="A241" s="36"/>
      <c r="B241" s="95"/>
      <c r="C241" s="95"/>
      <c r="D241" s="95"/>
      <c r="E241" s="95"/>
      <c r="F241" s="95"/>
      <c r="G241" s="95"/>
      <c r="H241" s="95"/>
      <c r="I241" s="95"/>
      <c r="J241" s="95"/>
      <c r="K241" s="95"/>
      <c r="L241" s="95"/>
      <c r="M241" s="95"/>
      <c r="N241" s="148"/>
    </row>
    <row r="242" spans="1:14" ht="15" x14ac:dyDescent="0.2">
      <c r="A242" s="36"/>
      <c r="B242" s="150"/>
      <c r="C242" s="151"/>
      <c r="D242" s="151"/>
      <c r="E242" s="151"/>
      <c r="F242" s="151"/>
      <c r="G242" s="151"/>
      <c r="H242" s="151"/>
      <c r="I242" s="151"/>
      <c r="J242" s="151"/>
      <c r="K242" s="151"/>
      <c r="L242" s="152"/>
      <c r="M242" s="95"/>
      <c r="N242" s="148"/>
    </row>
    <row r="243" spans="1:14" ht="15" x14ac:dyDescent="0.2">
      <c r="A243" s="147"/>
      <c r="B243" s="153"/>
      <c r="C243" s="378" t="s">
        <v>476</v>
      </c>
      <c r="D243" s="154"/>
      <c r="E243" s="154"/>
      <c r="F243" s="154"/>
      <c r="G243" s="154"/>
      <c r="H243" s="154"/>
      <c r="I243" s="154"/>
      <c r="J243" s="154"/>
      <c r="K243" s="154"/>
      <c r="L243" s="155"/>
      <c r="M243" s="95"/>
      <c r="N243" s="148"/>
    </row>
    <row r="244" spans="1:14" ht="15" x14ac:dyDescent="0.2">
      <c r="A244" s="147"/>
      <c r="B244" s="153"/>
      <c r="C244" s="154"/>
      <c r="D244" s="154"/>
      <c r="E244" s="154"/>
      <c r="F244" s="154"/>
      <c r="G244" s="154"/>
      <c r="H244" s="154"/>
      <c r="I244" s="154"/>
      <c r="J244" s="154"/>
      <c r="K244" s="154"/>
      <c r="L244" s="155"/>
      <c r="M244" s="95"/>
      <c r="N244" s="148"/>
    </row>
    <row r="245" spans="1:14" ht="15.75" x14ac:dyDescent="0.25">
      <c r="A245" s="147"/>
      <c r="B245" s="153"/>
      <c r="C245" s="154"/>
      <c r="D245" s="156" t="s">
        <v>708</v>
      </c>
      <c r="E245" s="154"/>
      <c r="F245" s="3"/>
      <c r="G245" s="378" t="s">
        <v>709</v>
      </c>
      <c r="H245" s="154"/>
      <c r="I245" s="154"/>
      <c r="J245" s="154"/>
      <c r="K245" s="154"/>
      <c r="L245" s="155"/>
      <c r="M245" s="95"/>
      <c r="N245" s="148"/>
    </row>
    <row r="246" spans="1:14" ht="15" x14ac:dyDescent="0.2">
      <c r="A246" s="147"/>
      <c r="B246" s="153"/>
      <c r="C246" s="154"/>
      <c r="D246" s="3"/>
      <c r="E246" s="154"/>
      <c r="F246" s="3"/>
      <c r="G246" s="599" t="s">
        <v>710</v>
      </c>
      <c r="H246" s="154"/>
      <c r="I246" s="154"/>
      <c r="J246" s="154"/>
      <c r="K246" s="154"/>
      <c r="L246" s="155"/>
      <c r="M246" s="95"/>
      <c r="N246" s="148"/>
    </row>
    <row r="247" spans="1:14" ht="15" x14ac:dyDescent="0.2">
      <c r="A247" s="147"/>
      <c r="B247" s="153"/>
      <c r="C247" s="154"/>
      <c r="D247" s="154"/>
      <c r="E247" s="154"/>
      <c r="F247" s="154"/>
      <c r="G247" s="154"/>
      <c r="H247" s="154"/>
      <c r="I247" s="154"/>
      <c r="J247" s="154"/>
      <c r="K247" s="154"/>
      <c r="L247" s="155"/>
      <c r="M247" s="95"/>
      <c r="N247" s="148"/>
    </row>
    <row r="248" spans="1:14" ht="15.75" x14ac:dyDescent="0.25">
      <c r="A248" s="147"/>
      <c r="B248" s="153"/>
      <c r="C248" s="154"/>
      <c r="D248" s="156" t="s">
        <v>458</v>
      </c>
      <c r="E248" s="154"/>
      <c r="F248" s="3"/>
      <c r="G248" s="378" t="s">
        <v>460</v>
      </c>
      <c r="H248" s="154"/>
      <c r="I248" s="154"/>
      <c r="J248" s="154"/>
      <c r="K248" s="154"/>
      <c r="L248" s="155"/>
      <c r="M248" s="95"/>
      <c r="N248" s="148"/>
    </row>
    <row r="249" spans="1:14" ht="15" x14ac:dyDescent="0.2">
      <c r="A249" s="147"/>
      <c r="B249" s="153"/>
      <c r="C249" s="154"/>
      <c r="D249" s="3"/>
      <c r="E249" s="154"/>
      <c r="F249" s="3"/>
      <c r="G249" s="378" t="s">
        <v>459</v>
      </c>
      <c r="H249" s="154"/>
      <c r="I249" s="154"/>
      <c r="J249" s="154"/>
      <c r="K249" s="154"/>
      <c r="L249" s="155"/>
      <c r="M249" s="95"/>
      <c r="N249" s="148"/>
    </row>
    <row r="250" spans="1:14" ht="15.75" thickBot="1" x14ac:dyDescent="0.25">
      <c r="A250" s="147"/>
      <c r="B250" s="157"/>
      <c r="C250" s="158"/>
      <c r="D250" s="158"/>
      <c r="E250" s="158"/>
      <c r="F250" s="158"/>
      <c r="G250" s="158"/>
      <c r="H250" s="158"/>
      <c r="I250" s="158"/>
      <c r="J250" s="158"/>
      <c r="K250" s="158"/>
      <c r="L250" s="159"/>
      <c r="M250" s="95"/>
      <c r="N250" s="148"/>
    </row>
    <row r="251" spans="1:14" ht="15" x14ac:dyDescent="0.2">
      <c r="A251" s="147"/>
      <c r="B251" s="149"/>
      <c r="C251" s="149"/>
      <c r="D251" s="149"/>
      <c r="E251" s="149"/>
      <c r="F251" s="149"/>
      <c r="G251" s="149"/>
      <c r="H251" s="149"/>
      <c r="I251" s="373" t="s">
        <v>477</v>
      </c>
      <c r="J251" s="374"/>
      <c r="K251" s="375"/>
      <c r="L251" s="372"/>
      <c r="M251" s="149"/>
      <c r="N251" s="211"/>
    </row>
    <row r="252" spans="1:14" ht="15" x14ac:dyDescent="0.2">
      <c r="A252" s="147"/>
      <c r="I252" s="337"/>
    </row>
    <row r="253" spans="1:14" ht="15" x14ac:dyDescent="0.2">
      <c r="A253" s="95"/>
    </row>
  </sheetData>
  <sheetProtection password="C234" sheet="1"/>
  <mergeCells count="90">
    <mergeCell ref="B237:L237"/>
    <mergeCell ref="B226:L226"/>
    <mergeCell ref="B228:L228"/>
    <mergeCell ref="B230:L230"/>
    <mergeCell ref="B231:L231"/>
    <mergeCell ref="B233:L233"/>
    <mergeCell ref="B234:L234"/>
    <mergeCell ref="B23:K23"/>
    <mergeCell ref="B1:K1"/>
    <mergeCell ref="B2:K2"/>
    <mergeCell ref="B7:K7"/>
    <mergeCell ref="B8:K8"/>
    <mergeCell ref="B10:K10"/>
    <mergeCell ref="B11:K11"/>
    <mergeCell ref="B13:K13"/>
    <mergeCell ref="D16:I16"/>
    <mergeCell ref="D15:I15"/>
    <mergeCell ref="C43:L43"/>
    <mergeCell ref="B41:L41"/>
    <mergeCell ref="D45:L45"/>
    <mergeCell ref="C48:L48"/>
    <mergeCell ref="B28:L28"/>
    <mergeCell ref="B29:L29"/>
    <mergeCell ref="C46:L46"/>
    <mergeCell ref="B36:L36"/>
    <mergeCell ref="B37:L37"/>
    <mergeCell ref="B42:L42"/>
    <mergeCell ref="D44:L44"/>
    <mergeCell ref="B40:L40"/>
    <mergeCell ref="B38:L38"/>
    <mergeCell ref="B225:L225"/>
    <mergeCell ref="D47:L47"/>
    <mergeCell ref="D49:L49"/>
    <mergeCell ref="D51:L51"/>
    <mergeCell ref="C50:L50"/>
    <mergeCell ref="D56:L56"/>
    <mergeCell ref="C52:L52"/>
    <mergeCell ref="C57:L57"/>
    <mergeCell ref="C54:L54"/>
    <mergeCell ref="D55:L55"/>
    <mergeCell ref="D53:L53"/>
    <mergeCell ref="D58:L58"/>
    <mergeCell ref="C59:L59"/>
    <mergeCell ref="D91:L91"/>
    <mergeCell ref="B61:L61"/>
    <mergeCell ref="D86:L86"/>
    <mergeCell ref="D82:L82"/>
    <mergeCell ref="D92:L92"/>
    <mergeCell ref="C66:L66"/>
    <mergeCell ref="C84:L84"/>
    <mergeCell ref="D85:L85"/>
    <mergeCell ref="D87:L87"/>
    <mergeCell ref="C89:L89"/>
    <mergeCell ref="C90:L90"/>
    <mergeCell ref="C68:L68"/>
    <mergeCell ref="C70:L70"/>
    <mergeCell ref="C72:L72"/>
    <mergeCell ref="C76:L76"/>
    <mergeCell ref="D77:L77"/>
    <mergeCell ref="D78:L78"/>
    <mergeCell ref="C74:L74"/>
    <mergeCell ref="C81:L81"/>
    <mergeCell ref="B217:L217"/>
    <mergeCell ref="C95:L95"/>
    <mergeCell ref="D96:L96"/>
    <mergeCell ref="B176:L176"/>
    <mergeCell ref="B169:L169"/>
    <mergeCell ref="B177:L177"/>
    <mergeCell ref="B162:L162"/>
    <mergeCell ref="D97:L97"/>
    <mergeCell ref="B213:L213"/>
    <mergeCell ref="B214:L214"/>
    <mergeCell ref="B195:L195"/>
    <mergeCell ref="B196:L196"/>
    <mergeCell ref="B197:L197"/>
    <mergeCell ref="B198:L198"/>
    <mergeCell ref="B211:L211"/>
    <mergeCell ref="B206:L206"/>
    <mergeCell ref="B199:L199"/>
    <mergeCell ref="B201:L201"/>
    <mergeCell ref="B207:L207"/>
    <mergeCell ref="B209:L209"/>
    <mergeCell ref="D163:L163"/>
    <mergeCell ref="D164:L164"/>
    <mergeCell ref="B182:L182"/>
    <mergeCell ref="B185:L185"/>
    <mergeCell ref="B192:L192"/>
    <mergeCell ref="B193:L193"/>
    <mergeCell ref="B186:L186"/>
    <mergeCell ref="B187:L187"/>
  </mergeCells>
  <phoneticPr fontId="17" type="noConversion"/>
  <hyperlinks>
    <hyperlink ref="G249" r:id="rId1"/>
    <hyperlink ref="G246" r:id="rId2"/>
  </hyperlinks>
  <printOptions horizontalCentered="1"/>
  <pageMargins left="0.23622047244094491" right="0.35433070866141736" top="0.19685039370078741" bottom="0.15748031496062992" header="0.15748031496062992" footer="0.19685039370078741"/>
  <pageSetup paperSize="9" scale="72" orientation="portrait" r:id="rId3"/>
  <headerFooter alignWithMargins="0"/>
  <rowBreaks count="3" manualBreakCount="3">
    <brk id="62" max="13" man="1"/>
    <brk id="98" max="16383" man="1"/>
    <brk id="158" max="16383" man="1"/>
  </rowBreak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Q135"/>
  <sheetViews>
    <sheetView topLeftCell="B38" workbookViewId="0">
      <selection activeCell="C26" sqref="C25:N26"/>
    </sheetView>
  </sheetViews>
  <sheetFormatPr defaultRowHeight="12" x14ac:dyDescent="0.2"/>
  <cols>
    <col min="1" max="1" width="2.7109375" hidden="1" customWidth="1"/>
    <col min="2" max="2" width="2.42578125" customWidth="1"/>
    <col min="3" max="3" width="39.5703125" customWidth="1"/>
    <col min="4" max="14" width="11.28515625" customWidth="1"/>
    <col min="15" max="17" width="12" customWidth="1"/>
    <col min="20" max="20" width="15.5703125" customWidth="1"/>
  </cols>
  <sheetData>
    <row r="1" spans="1:17" x14ac:dyDescent="0.2">
      <c r="A1" s="218"/>
      <c r="B1" s="218"/>
      <c r="C1" s="218"/>
      <c r="D1" s="218"/>
      <c r="E1" s="218"/>
      <c r="F1" s="218"/>
      <c r="G1" s="218"/>
      <c r="H1" s="218"/>
      <c r="I1" s="218"/>
      <c r="J1" s="218"/>
      <c r="K1" s="218"/>
      <c r="L1" s="218"/>
      <c r="M1" s="218"/>
      <c r="N1" s="218"/>
      <c r="O1" s="218"/>
      <c r="P1" s="218"/>
      <c r="Q1" s="218"/>
    </row>
    <row r="2" spans="1:17" ht="15.75" x14ac:dyDescent="0.25">
      <c r="A2" s="218"/>
      <c r="B2" s="218"/>
      <c r="C2" s="838" t="str">
        <f>'WK1 - Identification'!E11</f>
        <v>Shoalhaven City Council</v>
      </c>
      <c r="D2" s="856"/>
      <c r="E2" s="839"/>
      <c r="F2" s="839"/>
      <c r="G2" s="840"/>
      <c r="H2" s="217"/>
      <c r="I2" s="217"/>
      <c r="J2" s="217"/>
      <c r="K2" s="217"/>
      <c r="L2" s="217"/>
      <c r="M2" s="217"/>
      <c r="N2" s="218"/>
      <c r="O2" s="218"/>
      <c r="P2" s="218"/>
      <c r="Q2" s="218"/>
    </row>
    <row r="3" spans="1:17" ht="3.75" customHeight="1" x14ac:dyDescent="0.2">
      <c r="A3" s="218"/>
      <c r="B3" s="218"/>
      <c r="C3" s="218"/>
      <c r="D3" s="218"/>
      <c r="E3" s="218"/>
      <c r="F3" s="218"/>
      <c r="G3" s="218"/>
      <c r="H3" s="218"/>
      <c r="I3" s="218"/>
      <c r="J3" s="218"/>
      <c r="K3" s="218"/>
      <c r="L3" s="218"/>
      <c r="M3" s="218"/>
      <c r="N3" s="218"/>
      <c r="O3" s="218"/>
      <c r="P3" s="218"/>
      <c r="Q3" s="218"/>
    </row>
    <row r="4" spans="1:17" ht="28.9" customHeight="1" x14ac:dyDescent="0.4">
      <c r="A4" s="218"/>
      <c r="B4" s="850" t="s">
        <v>614</v>
      </c>
      <c r="C4" s="850"/>
      <c r="D4" s="850"/>
      <c r="E4" s="850"/>
      <c r="F4" s="850"/>
      <c r="G4" s="850"/>
      <c r="H4" s="850"/>
      <c r="I4" s="850"/>
      <c r="J4" s="850"/>
      <c r="K4" s="850"/>
      <c r="L4" s="850"/>
      <c r="M4" s="851"/>
      <c r="N4" s="851"/>
      <c r="O4" s="851"/>
      <c r="P4" s="218"/>
      <c r="Q4" s="218"/>
    </row>
    <row r="5" spans="1:17" ht="6" customHeight="1" x14ac:dyDescent="0.2">
      <c r="A5" s="218"/>
      <c r="B5" s="218"/>
      <c r="C5" s="218"/>
      <c r="D5" s="218"/>
      <c r="E5" s="218"/>
      <c r="F5" s="218"/>
      <c r="G5" s="218"/>
      <c r="H5" s="218"/>
      <c r="I5" s="218"/>
      <c r="J5" s="218"/>
      <c r="K5" s="218"/>
      <c r="L5" s="218"/>
      <c r="M5" s="218"/>
      <c r="N5" s="218"/>
      <c r="O5" s="218"/>
      <c r="P5" s="218"/>
      <c r="Q5" s="218"/>
    </row>
    <row r="6" spans="1:17" ht="23.25" x14ac:dyDescent="0.35">
      <c r="A6" s="359"/>
      <c r="B6" s="852" t="s">
        <v>615</v>
      </c>
      <c r="C6" s="852"/>
      <c r="D6" s="852"/>
      <c r="E6" s="852"/>
      <c r="F6" s="852"/>
      <c r="G6" s="852"/>
      <c r="H6" s="852"/>
      <c r="I6" s="852"/>
      <c r="J6" s="852"/>
      <c r="K6" s="852"/>
      <c r="L6" s="852"/>
      <c r="M6" s="851"/>
      <c r="N6" s="851"/>
      <c r="O6" s="851"/>
      <c r="P6" s="218"/>
      <c r="Q6" s="218"/>
    </row>
    <row r="7" spans="1:17" ht="10.15" customHeight="1" x14ac:dyDescent="0.35">
      <c r="A7" s="82"/>
      <c r="B7" s="214"/>
      <c r="C7" s="853" t="s">
        <v>729</v>
      </c>
      <c r="D7" s="853"/>
      <c r="E7" s="857"/>
      <c r="F7" s="857"/>
      <c r="G7" s="857"/>
      <c r="H7" s="857"/>
      <c r="I7" s="857"/>
      <c r="J7" s="857"/>
      <c r="K7" s="857"/>
      <c r="L7" s="857"/>
      <c r="M7" s="857"/>
      <c r="N7" s="857"/>
      <c r="O7" s="857"/>
      <c r="P7" s="218"/>
      <c r="Q7" s="218"/>
    </row>
    <row r="8" spans="1:17" ht="17.25" customHeight="1" x14ac:dyDescent="0.2">
      <c r="A8" s="38"/>
      <c r="B8" s="38"/>
      <c r="C8" s="857"/>
      <c r="D8" s="857"/>
      <c r="E8" s="857"/>
      <c r="F8" s="857"/>
      <c r="G8" s="857"/>
      <c r="H8" s="857"/>
      <c r="I8" s="857"/>
      <c r="J8" s="857"/>
      <c r="K8" s="857"/>
      <c r="L8" s="857"/>
      <c r="M8" s="857"/>
      <c r="N8" s="857"/>
      <c r="O8" s="857"/>
      <c r="P8" s="218"/>
      <c r="Q8" s="218"/>
    </row>
    <row r="9" spans="1:17" x14ac:dyDescent="0.2">
      <c r="A9" s="38"/>
      <c r="B9" s="38"/>
      <c r="C9" s="858"/>
      <c r="D9" s="858"/>
      <c r="E9" s="858"/>
      <c r="F9" s="858"/>
      <c r="G9" s="858"/>
      <c r="H9" s="858"/>
      <c r="I9" s="858"/>
      <c r="J9" s="858"/>
      <c r="K9" s="858"/>
      <c r="L9" s="858"/>
      <c r="M9" s="858"/>
      <c r="N9" s="858"/>
      <c r="O9" s="858"/>
      <c r="P9" s="218"/>
      <c r="Q9" s="218"/>
    </row>
    <row r="10" spans="1:17" x14ac:dyDescent="0.2">
      <c r="A10" s="38"/>
      <c r="B10" s="38"/>
      <c r="C10" s="858"/>
      <c r="D10" s="858"/>
      <c r="E10" s="858"/>
      <c r="F10" s="858"/>
      <c r="G10" s="858"/>
      <c r="H10" s="858"/>
      <c r="I10" s="858"/>
      <c r="J10" s="858"/>
      <c r="K10" s="858"/>
      <c r="L10" s="858"/>
      <c r="M10" s="858"/>
      <c r="N10" s="858"/>
      <c r="O10" s="858"/>
      <c r="P10" s="218"/>
      <c r="Q10" s="218"/>
    </row>
    <row r="11" spans="1:17" x14ac:dyDescent="0.2">
      <c r="A11" s="38"/>
      <c r="B11" s="38"/>
      <c r="C11" s="858"/>
      <c r="D11" s="858"/>
      <c r="E11" s="858"/>
      <c r="F11" s="858"/>
      <c r="G11" s="858"/>
      <c r="H11" s="858"/>
      <c r="I11" s="858"/>
      <c r="J11" s="858"/>
      <c r="K11" s="858"/>
      <c r="L11" s="858"/>
      <c r="M11" s="858"/>
      <c r="N11" s="858"/>
      <c r="O11" s="858"/>
      <c r="P11" s="218"/>
      <c r="Q11" s="218"/>
    </row>
    <row r="12" spans="1:17" x14ac:dyDescent="0.2">
      <c r="A12" s="38"/>
      <c r="B12" s="38"/>
      <c r="C12" s="858"/>
      <c r="D12" s="858"/>
      <c r="E12" s="858"/>
      <c r="F12" s="858"/>
      <c r="G12" s="858"/>
      <c r="H12" s="858"/>
      <c r="I12" s="858"/>
      <c r="J12" s="858"/>
      <c r="K12" s="858"/>
      <c r="L12" s="858"/>
      <c r="M12" s="858"/>
      <c r="N12" s="858"/>
      <c r="O12" s="858"/>
      <c r="P12" s="218"/>
      <c r="Q12" s="218"/>
    </row>
    <row r="13" spans="1:17" x14ac:dyDescent="0.2">
      <c r="A13" s="38"/>
      <c r="B13" s="38"/>
      <c r="C13" s="858"/>
      <c r="D13" s="858"/>
      <c r="E13" s="858"/>
      <c r="F13" s="858"/>
      <c r="G13" s="858"/>
      <c r="H13" s="858"/>
      <c r="I13" s="858"/>
      <c r="J13" s="858"/>
      <c r="K13" s="858"/>
      <c r="L13" s="858"/>
      <c r="M13" s="858"/>
      <c r="N13" s="858"/>
      <c r="O13" s="858"/>
      <c r="P13" s="218"/>
      <c r="Q13" s="218"/>
    </row>
    <row r="14" spans="1:17" x14ac:dyDescent="0.2">
      <c r="A14" s="38"/>
      <c r="B14" s="38"/>
      <c r="C14" s="858"/>
      <c r="D14" s="858"/>
      <c r="E14" s="858"/>
      <c r="F14" s="858"/>
      <c r="G14" s="858"/>
      <c r="H14" s="858"/>
      <c r="I14" s="858"/>
      <c r="J14" s="858"/>
      <c r="K14" s="858"/>
      <c r="L14" s="858"/>
      <c r="M14" s="858"/>
      <c r="N14" s="858"/>
      <c r="O14" s="858"/>
      <c r="P14" s="218"/>
      <c r="Q14" s="218"/>
    </row>
    <row r="15" spans="1:17" x14ac:dyDescent="0.2">
      <c r="A15" s="38"/>
      <c r="B15" s="38"/>
      <c r="C15" s="858"/>
      <c r="D15" s="858"/>
      <c r="E15" s="858"/>
      <c r="F15" s="858"/>
      <c r="G15" s="858"/>
      <c r="H15" s="858"/>
      <c r="I15" s="858"/>
      <c r="J15" s="858"/>
      <c r="K15" s="858"/>
      <c r="L15" s="858"/>
      <c r="M15" s="858"/>
      <c r="N15" s="858"/>
      <c r="O15" s="858"/>
      <c r="P15" s="218"/>
      <c r="Q15" s="218"/>
    </row>
    <row r="16" spans="1:17" ht="13.5" customHeight="1" x14ac:dyDescent="0.2">
      <c r="A16" s="38"/>
      <c r="B16" s="38"/>
      <c r="C16" s="858"/>
      <c r="D16" s="858"/>
      <c r="E16" s="858"/>
      <c r="F16" s="858"/>
      <c r="G16" s="858"/>
      <c r="H16" s="858"/>
      <c r="I16" s="858"/>
      <c r="J16" s="858"/>
      <c r="K16" s="858"/>
      <c r="L16" s="858"/>
      <c r="M16" s="858"/>
      <c r="N16" s="858"/>
      <c r="O16" s="858"/>
      <c r="P16" s="218"/>
      <c r="Q16" s="218"/>
    </row>
    <row r="17" spans="1:17" ht="6.75" customHeight="1" x14ac:dyDescent="0.25">
      <c r="A17" s="38"/>
      <c r="B17" s="84"/>
      <c r="C17" s="38"/>
      <c r="D17" s="38"/>
      <c r="E17" s="38"/>
      <c r="F17" s="38"/>
      <c r="G17" s="38"/>
      <c r="H17" s="38"/>
      <c r="I17" s="38"/>
      <c r="J17" s="38"/>
      <c r="K17" s="38"/>
      <c r="L17" s="38"/>
      <c r="M17" s="38"/>
      <c r="N17" s="38"/>
      <c r="O17" s="38"/>
      <c r="P17" s="38"/>
      <c r="Q17" s="38"/>
    </row>
    <row r="18" spans="1:17" ht="12.75" thickBot="1" x14ac:dyDescent="0.25"/>
    <row r="19" spans="1:17" ht="16.5" customHeight="1" thickBot="1" x14ac:dyDescent="0.3">
      <c r="C19" s="38"/>
      <c r="D19" s="38"/>
      <c r="E19" s="843" t="s">
        <v>468</v>
      </c>
      <c r="F19" s="844"/>
      <c r="G19" s="844"/>
      <c r="H19" s="844"/>
      <c r="I19" s="844"/>
      <c r="J19" s="844"/>
      <c r="K19" s="844"/>
      <c r="L19" s="844"/>
      <c r="M19" s="845"/>
      <c r="N19" s="845"/>
      <c r="O19" s="845"/>
      <c r="P19" s="862" t="s">
        <v>719</v>
      </c>
      <c r="Q19" s="862" t="s">
        <v>720</v>
      </c>
    </row>
    <row r="20" spans="1:17" ht="17.25" thickTop="1" thickBot="1" x14ac:dyDescent="0.3">
      <c r="C20" s="427"/>
      <c r="D20" s="629"/>
      <c r="E20" s="867"/>
      <c r="F20" s="848"/>
      <c r="G20" s="848"/>
      <c r="H20" s="848"/>
      <c r="I20" s="848"/>
      <c r="J20" s="848"/>
      <c r="K20" s="848"/>
      <c r="L20" s="848"/>
      <c r="M20" s="848"/>
      <c r="N20" s="848"/>
      <c r="O20" s="848"/>
      <c r="P20" s="863"/>
      <c r="Q20" s="863"/>
    </row>
    <row r="21" spans="1:17" ht="12.75" customHeight="1" x14ac:dyDescent="0.2">
      <c r="C21" s="428"/>
      <c r="D21" s="628" t="s">
        <v>618</v>
      </c>
      <c r="E21" s="429" t="s">
        <v>366</v>
      </c>
      <c r="F21" s="429" t="s">
        <v>367</v>
      </c>
      <c r="G21" s="429" t="s">
        <v>368</v>
      </c>
      <c r="H21" s="429" t="s">
        <v>369</v>
      </c>
      <c r="I21" s="429" t="s">
        <v>370</v>
      </c>
      <c r="J21" s="429" t="s">
        <v>371</v>
      </c>
      <c r="K21" s="429" t="s">
        <v>372</v>
      </c>
      <c r="L21" s="429" t="s">
        <v>373</v>
      </c>
      <c r="M21" s="429" t="s">
        <v>374</v>
      </c>
      <c r="N21" s="429" t="s">
        <v>375</v>
      </c>
      <c r="O21" s="860" t="s">
        <v>377</v>
      </c>
      <c r="P21" s="863"/>
      <c r="Q21" s="863"/>
    </row>
    <row r="22" spans="1:17" ht="13.5" thickBot="1" x14ac:dyDescent="0.25">
      <c r="C22" s="431"/>
      <c r="D22" s="215" t="s">
        <v>22</v>
      </c>
      <c r="E22" s="215" t="s">
        <v>24</v>
      </c>
      <c r="F22" s="215" t="s">
        <v>26</v>
      </c>
      <c r="G22" s="215" t="s">
        <v>29</v>
      </c>
      <c r="H22" s="215" t="s">
        <v>31</v>
      </c>
      <c r="I22" s="215" t="s">
        <v>33</v>
      </c>
      <c r="J22" s="215" t="s">
        <v>35</v>
      </c>
      <c r="K22" s="215" t="s">
        <v>37</v>
      </c>
      <c r="L22" s="215" t="s">
        <v>39</v>
      </c>
      <c r="M22" s="215" t="s">
        <v>41</v>
      </c>
      <c r="N22" s="215" t="s">
        <v>43</v>
      </c>
      <c r="O22" s="861"/>
      <c r="P22" s="864"/>
      <c r="Q22" s="864"/>
    </row>
    <row r="23" spans="1:17" ht="15" x14ac:dyDescent="0.25">
      <c r="C23" s="841" t="s">
        <v>470</v>
      </c>
      <c r="D23" s="865"/>
      <c r="E23" s="866"/>
      <c r="F23" s="866"/>
      <c r="G23" s="866"/>
      <c r="H23" s="866"/>
      <c r="I23" s="866"/>
      <c r="J23" s="866"/>
      <c r="K23" s="866"/>
      <c r="L23" s="866"/>
      <c r="M23" s="866"/>
      <c r="N23" s="866"/>
      <c r="O23" s="866"/>
      <c r="P23" s="633"/>
      <c r="Q23" s="634"/>
    </row>
    <row r="24" spans="1:17" ht="14.25" x14ac:dyDescent="0.2">
      <c r="C24" s="600" t="s">
        <v>592</v>
      </c>
      <c r="D24" s="587"/>
      <c r="E24" s="588"/>
      <c r="F24" s="588"/>
      <c r="G24" s="588"/>
      <c r="H24" s="588"/>
      <c r="I24" s="588"/>
      <c r="J24" s="588"/>
      <c r="K24" s="588"/>
      <c r="L24" s="588"/>
      <c r="M24" s="588"/>
      <c r="N24" s="588"/>
      <c r="O24" s="589"/>
      <c r="P24" s="589"/>
      <c r="Q24" s="589"/>
    </row>
    <row r="25" spans="1:17" ht="14.25" x14ac:dyDescent="0.2">
      <c r="C25" s="600" t="s">
        <v>593</v>
      </c>
      <c r="D25" s="590"/>
      <c r="E25" s="591"/>
      <c r="F25" s="591"/>
      <c r="G25" s="591"/>
      <c r="H25" s="591"/>
      <c r="I25" s="591"/>
      <c r="J25" s="591"/>
      <c r="K25" s="591"/>
      <c r="L25" s="591"/>
      <c r="M25" s="591"/>
      <c r="N25" s="591"/>
      <c r="O25" s="592"/>
      <c r="P25" s="592"/>
      <c r="Q25" s="592"/>
    </row>
    <row r="26" spans="1:17" ht="14.25" x14ac:dyDescent="0.2">
      <c r="C26" s="666" t="s">
        <v>594</v>
      </c>
      <c r="D26" s="582">
        <f>+D59</f>
        <v>71821.291736113999</v>
      </c>
      <c r="E26" s="582">
        <f>+E59+844.288</f>
        <v>75623.501347911995</v>
      </c>
      <c r="F26" s="582">
        <f>+F59+869.617</f>
        <v>79460.040908064009</v>
      </c>
      <c r="G26" s="582">
        <f>+G59+895.705</f>
        <v>82354.895905020006</v>
      </c>
      <c r="H26" s="582">
        <f>+H59+922.578</f>
        <v>85539.872731885</v>
      </c>
      <c r="I26" s="582">
        <f>+I59+950.254</f>
        <v>88639.887273556</v>
      </c>
      <c r="J26" s="582">
        <f>+J59+978.761</f>
        <v>91843.825541475991</v>
      </c>
      <c r="K26" s="582">
        <f>+K59+1008.124</f>
        <v>95155.270357435002</v>
      </c>
      <c r="L26" s="582">
        <f>+L59+1038.368</f>
        <v>98577.931087873003</v>
      </c>
      <c r="M26" s="582">
        <f>+M59+1069.519</f>
        <v>102115.650430223</v>
      </c>
      <c r="N26" s="582">
        <f>+N59+1101.604</f>
        <v>105179.1193731297</v>
      </c>
      <c r="O26" s="354">
        <f t="shared" ref="O26:O31" si="0">SUM(E26:N26)</f>
        <v>904489.9949565737</v>
      </c>
      <c r="P26" s="354">
        <f t="shared" ref="P26:P31" si="1">N26-D26</f>
        <v>33357.827637015696</v>
      </c>
      <c r="Q26" s="651">
        <f t="shared" ref="Q26:Q31" si="2">(P26/D26)</f>
        <v>0.46445596884527118</v>
      </c>
    </row>
    <row r="27" spans="1:17" ht="14.25" x14ac:dyDescent="0.2">
      <c r="C27" s="666" t="s">
        <v>595</v>
      </c>
      <c r="D27" s="177">
        <f>+D60</f>
        <v>39484.615720000009</v>
      </c>
      <c r="E27" s="177">
        <f t="shared" ref="E27:N27" si="3">+E60</f>
        <v>42205.020374999978</v>
      </c>
      <c r="F27" s="177">
        <f t="shared" si="3"/>
        <v>44451.020232249975</v>
      </c>
      <c r="G27" s="177">
        <f t="shared" si="3"/>
        <v>46161.67329821748</v>
      </c>
      <c r="H27" s="177">
        <f t="shared" si="3"/>
        <v>48086.095290164056</v>
      </c>
      <c r="I27" s="177">
        <f t="shared" si="3"/>
        <v>50136.358797368957</v>
      </c>
      <c r="J27" s="177">
        <f t="shared" si="3"/>
        <v>52206.950460089989</v>
      </c>
      <c r="K27" s="177">
        <f t="shared" si="3"/>
        <v>54289.18967509269</v>
      </c>
      <c r="L27" s="177">
        <f t="shared" si="3"/>
        <v>56469.866000000002</v>
      </c>
      <c r="M27" s="177">
        <f t="shared" si="3"/>
        <v>61513.574314028272</v>
      </c>
      <c r="N27" s="177">
        <f t="shared" si="3"/>
        <v>63358.981543449125</v>
      </c>
      <c r="O27" s="354">
        <f t="shared" si="0"/>
        <v>518878.72998566047</v>
      </c>
      <c r="P27" s="354">
        <f t="shared" si="1"/>
        <v>23874.365823449116</v>
      </c>
      <c r="Q27" s="651">
        <f t="shared" si="2"/>
        <v>0.6046498209011596</v>
      </c>
    </row>
    <row r="28" spans="1:17" ht="14.25" x14ac:dyDescent="0.2">
      <c r="C28" s="666" t="s">
        <v>596</v>
      </c>
      <c r="D28" s="177">
        <f t="shared" ref="D28:N31" si="4">+D61</f>
        <v>2315.4969999999998</v>
      </c>
      <c r="E28" s="177">
        <f t="shared" si="4"/>
        <v>2135.973</v>
      </c>
      <c r="F28" s="177">
        <f t="shared" si="4"/>
        <v>2025.5260000000001</v>
      </c>
      <c r="G28" s="177">
        <f t="shared" si="4"/>
        <v>2023.4159999999999</v>
      </c>
      <c r="H28" s="177">
        <f t="shared" si="4"/>
        <v>1992.527</v>
      </c>
      <c r="I28" s="177">
        <f t="shared" si="4"/>
        <v>2079.1750000000002</v>
      </c>
      <c r="J28" s="177">
        <f t="shared" si="4"/>
        <v>2147.0279999999998</v>
      </c>
      <c r="K28" s="177">
        <f t="shared" si="4"/>
        <v>2252.5140000000001</v>
      </c>
      <c r="L28" s="177">
        <f t="shared" si="4"/>
        <v>2390.6129999999998</v>
      </c>
      <c r="M28" s="177">
        <f t="shared" si="4"/>
        <v>2555.0837099999999</v>
      </c>
      <c r="N28" s="177">
        <f t="shared" si="4"/>
        <v>2631.7362213000001</v>
      </c>
      <c r="O28" s="354">
        <f t="shared" si="0"/>
        <v>22233.591931300001</v>
      </c>
      <c r="P28" s="354">
        <f t="shared" si="1"/>
        <v>316.23922130000028</v>
      </c>
      <c r="Q28" s="651">
        <f t="shared" si="2"/>
        <v>0.13657509437498744</v>
      </c>
    </row>
    <row r="29" spans="1:17" ht="14.25" x14ac:dyDescent="0.2">
      <c r="C29" s="666" t="s">
        <v>597</v>
      </c>
      <c r="D29" s="177">
        <f t="shared" si="4"/>
        <v>55309.211411549528</v>
      </c>
      <c r="E29" s="177">
        <f t="shared" si="4"/>
        <v>56975.990452048049</v>
      </c>
      <c r="F29" s="177">
        <f t="shared" si="4"/>
        <v>59156.914327073624</v>
      </c>
      <c r="G29" s="177">
        <f t="shared" si="4"/>
        <v>61438.365703462907</v>
      </c>
      <c r="H29" s="177">
        <f t="shared" si="4"/>
        <v>63707.163302908091</v>
      </c>
      <c r="I29" s="177">
        <f t="shared" si="4"/>
        <v>65968.294459187702</v>
      </c>
      <c r="J29" s="177">
        <f t="shared" si="4"/>
        <v>68260.25951041533</v>
      </c>
      <c r="K29" s="177">
        <f t="shared" si="4"/>
        <v>70567.221979194641</v>
      </c>
      <c r="L29" s="177">
        <f t="shared" si="4"/>
        <v>72601.885818870331</v>
      </c>
      <c r="M29" s="177">
        <f t="shared" si="4"/>
        <v>74229.590856329422</v>
      </c>
      <c r="N29" s="177">
        <f t="shared" si="4"/>
        <v>76456.478582019306</v>
      </c>
      <c r="O29" s="354">
        <f t="shared" si="0"/>
        <v>669362.16499150952</v>
      </c>
      <c r="P29" s="354">
        <f t="shared" si="1"/>
        <v>21147.267170469779</v>
      </c>
      <c r="Q29" s="651">
        <f t="shared" si="2"/>
        <v>0.38234620654985257</v>
      </c>
    </row>
    <row r="30" spans="1:17" ht="14.25" x14ac:dyDescent="0.2">
      <c r="C30" s="666" t="s">
        <v>598</v>
      </c>
      <c r="D30" s="177">
        <f t="shared" si="4"/>
        <v>17977.452000000001</v>
      </c>
      <c r="E30" s="177">
        <f t="shared" si="4"/>
        <v>18182.110199999999</v>
      </c>
      <c r="F30" s="177">
        <f t="shared" si="4"/>
        <v>18340.006199999993</v>
      </c>
      <c r="G30" s="177">
        <f t="shared" si="4"/>
        <v>18792.529569999999</v>
      </c>
      <c r="H30" s="177">
        <f t="shared" si="4"/>
        <v>19301.529786100007</v>
      </c>
      <c r="I30" s="177">
        <f t="shared" si="4"/>
        <v>19852.446729683001</v>
      </c>
      <c r="J30" s="177">
        <f t="shared" si="4"/>
        <v>20419.819368573397</v>
      </c>
      <c r="K30" s="177">
        <f t="shared" si="4"/>
        <v>21004.485329630701</v>
      </c>
      <c r="L30" s="177">
        <f t="shared" si="4"/>
        <v>21671.012479519599</v>
      </c>
      <c r="M30" s="177">
        <f t="shared" si="4"/>
        <v>22231.171167179895</v>
      </c>
      <c r="N30" s="177">
        <f t="shared" si="4"/>
        <v>22898.10630219529</v>
      </c>
      <c r="O30" s="354">
        <f t="shared" si="0"/>
        <v>202693.21713288187</v>
      </c>
      <c r="P30" s="354">
        <f t="shared" si="1"/>
        <v>4920.6543021952893</v>
      </c>
      <c r="Q30" s="651">
        <f t="shared" si="2"/>
        <v>0.27371255404799794</v>
      </c>
    </row>
    <row r="31" spans="1:17" ht="28.5" x14ac:dyDescent="0.2">
      <c r="C31" s="666" t="s">
        <v>599</v>
      </c>
      <c r="D31" s="177">
        <f t="shared" si="4"/>
        <v>7751.03</v>
      </c>
      <c r="E31" s="177">
        <f t="shared" si="4"/>
        <v>3906.6260000000002</v>
      </c>
      <c r="F31" s="177">
        <f t="shared" si="4"/>
        <v>3962.4969999999998</v>
      </c>
      <c r="G31" s="177">
        <f t="shared" si="4"/>
        <v>4020.8339999999998</v>
      </c>
      <c r="H31" s="177">
        <f t="shared" si="4"/>
        <v>4079.6830000000123</v>
      </c>
      <c r="I31" s="177">
        <f t="shared" si="4"/>
        <v>2705.491</v>
      </c>
      <c r="J31" s="177">
        <f t="shared" si="4"/>
        <v>2848.6570000000002</v>
      </c>
      <c r="K31" s="177">
        <f t="shared" si="4"/>
        <v>2834.15</v>
      </c>
      <c r="L31" s="177">
        <f t="shared" si="4"/>
        <v>2901.5050000000001</v>
      </c>
      <c r="M31" s="177">
        <f t="shared" si="4"/>
        <v>2930.5400499999996</v>
      </c>
      <c r="N31" s="177">
        <f t="shared" si="4"/>
        <v>3018.4562514999998</v>
      </c>
      <c r="O31" s="354">
        <f t="shared" si="0"/>
        <v>33208.43930150001</v>
      </c>
      <c r="P31" s="354">
        <f t="shared" si="1"/>
        <v>-4732.5737485</v>
      </c>
      <c r="Q31" s="651">
        <f t="shared" si="2"/>
        <v>-0.61057353003407289</v>
      </c>
    </row>
    <row r="32" spans="1:17" ht="14.25" x14ac:dyDescent="0.2">
      <c r="C32" s="667" t="s">
        <v>600</v>
      </c>
      <c r="D32" s="584"/>
      <c r="E32" s="585"/>
      <c r="F32" s="585"/>
      <c r="G32" s="585"/>
      <c r="H32" s="585"/>
      <c r="I32" s="585"/>
      <c r="J32" s="585"/>
      <c r="K32" s="585"/>
      <c r="L32" s="585"/>
      <c r="M32" s="585"/>
      <c r="N32" s="585"/>
      <c r="O32" s="652"/>
      <c r="P32" s="652"/>
      <c r="Q32" s="652"/>
    </row>
    <row r="33" spans="3:17" ht="14.25" x14ac:dyDescent="0.2">
      <c r="C33" s="666" t="s">
        <v>601</v>
      </c>
      <c r="D33" s="593"/>
      <c r="E33" s="593"/>
      <c r="F33" s="593"/>
      <c r="G33" s="593"/>
      <c r="H33" s="593"/>
      <c r="I33" s="593"/>
      <c r="J33" s="593"/>
      <c r="K33" s="593"/>
      <c r="L33" s="593"/>
      <c r="M33" s="593"/>
      <c r="N33" s="593"/>
      <c r="O33" s="354">
        <f>SUM(E33:N33)</f>
        <v>0</v>
      </c>
      <c r="P33" s="354">
        <f>N33-D33</f>
        <v>0</v>
      </c>
      <c r="Q33" s="651" t="e">
        <f>(P33/D33)</f>
        <v>#DIV/0!</v>
      </c>
    </row>
    <row r="34" spans="3:17" ht="14.25" x14ac:dyDescent="0.2">
      <c r="C34" s="666" t="s">
        <v>602</v>
      </c>
      <c r="D34" s="354">
        <f t="shared" ref="D34:N34" si="5">SUM(D24:D33)</f>
        <v>194659.09786766354</v>
      </c>
      <c r="E34" s="354">
        <f t="shared" si="5"/>
        <v>199029.22137496001</v>
      </c>
      <c r="F34" s="354">
        <f t="shared" si="5"/>
        <v>207396.00466738761</v>
      </c>
      <c r="G34" s="354">
        <f t="shared" si="5"/>
        <v>214791.71447670038</v>
      </c>
      <c r="H34" s="354">
        <f t="shared" si="5"/>
        <v>222706.87111105717</v>
      </c>
      <c r="I34" s="354">
        <f t="shared" si="5"/>
        <v>229381.65325979568</v>
      </c>
      <c r="J34" s="354">
        <f t="shared" si="5"/>
        <v>237726.53988055469</v>
      </c>
      <c r="K34" s="354">
        <f t="shared" si="5"/>
        <v>246102.83134135301</v>
      </c>
      <c r="L34" s="354">
        <f t="shared" si="5"/>
        <v>254612.81338626295</v>
      </c>
      <c r="M34" s="354">
        <f t="shared" si="5"/>
        <v>265575.61052776064</v>
      </c>
      <c r="N34" s="354">
        <f t="shared" si="5"/>
        <v>273542.87827359344</v>
      </c>
      <c r="O34" s="354">
        <f>SUM(E34:N34)</f>
        <v>2350866.1382994251</v>
      </c>
      <c r="P34" s="354">
        <f>N34-D34</f>
        <v>78883.780405929894</v>
      </c>
      <c r="Q34" s="651">
        <f>(P34/D34)</f>
        <v>0.4052406554332128</v>
      </c>
    </row>
    <row r="35" spans="3:17" ht="28.5" x14ac:dyDescent="0.2">
      <c r="C35" s="666" t="s">
        <v>803</v>
      </c>
      <c r="D35" s="650">
        <f t="shared" ref="D35:N35" si="6">D34-D31</f>
        <v>186908.06786766354</v>
      </c>
      <c r="E35" s="354">
        <f t="shared" si="6"/>
        <v>195122.59537496002</v>
      </c>
      <c r="F35" s="354">
        <f t="shared" si="6"/>
        <v>203433.5076673876</v>
      </c>
      <c r="G35" s="354">
        <f t="shared" si="6"/>
        <v>210770.88047670037</v>
      </c>
      <c r="H35" s="354">
        <f t="shared" si="6"/>
        <v>218627.18811105716</v>
      </c>
      <c r="I35" s="354">
        <f t="shared" si="6"/>
        <v>226676.16225979567</v>
      </c>
      <c r="J35" s="354">
        <f t="shared" si="6"/>
        <v>234877.88288055468</v>
      </c>
      <c r="K35" s="354">
        <f t="shared" si="6"/>
        <v>243268.68134135302</v>
      </c>
      <c r="L35" s="354">
        <f t="shared" si="6"/>
        <v>251711.30838626294</v>
      </c>
      <c r="M35" s="354">
        <f t="shared" si="6"/>
        <v>262645.07047776063</v>
      </c>
      <c r="N35" s="354">
        <f t="shared" si="6"/>
        <v>270524.42202209344</v>
      </c>
      <c r="O35" s="354">
        <f>SUM(E35:N35)</f>
        <v>2317657.6989979255</v>
      </c>
      <c r="P35" s="354">
        <f>N35-D35</f>
        <v>83616.354154429893</v>
      </c>
      <c r="Q35" s="651">
        <f>(P35/D35)</f>
        <v>0.44736621114521796</v>
      </c>
    </row>
    <row r="36" spans="3:17" ht="14.25" x14ac:dyDescent="0.2">
      <c r="C36" s="219"/>
      <c r="D36" s="582"/>
      <c r="E36" s="582"/>
      <c r="F36" s="582"/>
      <c r="G36" s="582"/>
      <c r="H36" s="582"/>
      <c r="I36" s="582"/>
      <c r="J36" s="582"/>
      <c r="K36" s="582"/>
      <c r="L36" s="583"/>
      <c r="M36" s="582"/>
      <c r="N36" s="583"/>
      <c r="O36" s="180"/>
      <c r="P36" s="635"/>
      <c r="Q36" s="180"/>
    </row>
    <row r="37" spans="3:17" ht="15" x14ac:dyDescent="0.25">
      <c r="C37" s="841" t="s">
        <v>472</v>
      </c>
      <c r="D37" s="859"/>
      <c r="E37" s="859"/>
      <c r="F37" s="859"/>
      <c r="G37" s="859"/>
      <c r="H37" s="859"/>
      <c r="I37" s="859"/>
      <c r="J37" s="859"/>
      <c r="K37" s="859"/>
      <c r="L37" s="859"/>
      <c r="M37" s="859"/>
      <c r="N37" s="859"/>
      <c r="O37" s="859"/>
      <c r="P37" s="630"/>
      <c r="Q37" s="586"/>
    </row>
    <row r="38" spans="3:17" ht="14.25" x14ac:dyDescent="0.2">
      <c r="C38" s="600" t="s">
        <v>603</v>
      </c>
      <c r="D38" s="584"/>
      <c r="E38" s="585"/>
      <c r="F38" s="585"/>
      <c r="G38" s="585"/>
      <c r="H38" s="585"/>
      <c r="I38" s="585"/>
      <c r="J38" s="585"/>
      <c r="K38" s="585"/>
      <c r="L38" s="585"/>
      <c r="M38" s="585"/>
      <c r="N38" s="585"/>
      <c r="O38" s="586"/>
      <c r="P38" s="592"/>
      <c r="Q38" s="586"/>
    </row>
    <row r="39" spans="3:17" ht="14.25" x14ac:dyDescent="0.2">
      <c r="C39" s="666" t="s">
        <v>604</v>
      </c>
      <c r="D39" s="582">
        <f>+D72</f>
        <v>55579.402464824241</v>
      </c>
      <c r="E39" s="582">
        <f t="shared" ref="E39:N39" si="7">+E72</f>
        <v>57331.776861974729</v>
      </c>
      <c r="F39" s="582">
        <f t="shared" si="7"/>
        <v>59374.946413947262</v>
      </c>
      <c r="G39" s="582">
        <f t="shared" si="7"/>
        <v>61393.755934669811</v>
      </c>
      <c r="H39" s="582">
        <f t="shared" si="7"/>
        <v>63468.013244217502</v>
      </c>
      <c r="I39" s="582">
        <f t="shared" si="7"/>
        <v>65585.515721202974</v>
      </c>
      <c r="J39" s="582">
        <f t="shared" si="7"/>
        <v>67727.463188109337</v>
      </c>
      <c r="K39" s="582">
        <f t="shared" si="7"/>
        <v>69843.42026207957</v>
      </c>
      <c r="L39" s="582">
        <f t="shared" si="7"/>
        <v>72092.897971144019</v>
      </c>
      <c r="M39" s="582">
        <f t="shared" si="7"/>
        <v>74027.694155943231</v>
      </c>
      <c r="N39" s="582">
        <f t="shared" si="7"/>
        <v>76248.524980621529</v>
      </c>
      <c r="O39" s="354">
        <f>SUM(E39:N39)</f>
        <v>667094.00873390993</v>
      </c>
      <c r="P39" s="354">
        <f t="shared" ref="P39:P47" si="8">N39-D39</f>
        <v>20669.122515797288</v>
      </c>
      <c r="Q39" s="651">
        <f>(P39/D39)</f>
        <v>0.37188457592502205</v>
      </c>
    </row>
    <row r="40" spans="3:17" ht="14.25" x14ac:dyDescent="0.2">
      <c r="C40" s="666" t="s">
        <v>805</v>
      </c>
      <c r="D40" s="582">
        <f t="shared" ref="D40:D44" si="9">+D73</f>
        <v>2464.3290000000002</v>
      </c>
      <c r="E40" s="582">
        <f>+E73+423.961</f>
        <v>2997.9610000000002</v>
      </c>
      <c r="F40" s="582">
        <f>+F73+390.835</f>
        <v>3168.9340000000002</v>
      </c>
      <c r="G40" s="582">
        <f>+G73+355.692</f>
        <v>3289.57</v>
      </c>
      <c r="H40" s="582">
        <f>+H73+318.408</f>
        <v>3651.8359999999998</v>
      </c>
      <c r="I40" s="582">
        <f>+I73+278.853</f>
        <v>3977.9900000000002</v>
      </c>
      <c r="J40" s="582">
        <f>+J73+236.89</f>
        <v>3849.2709999999997</v>
      </c>
      <c r="K40" s="582">
        <f>+K73+192.371</f>
        <v>3736.607</v>
      </c>
      <c r="L40" s="582">
        <f>+L73+145.141</f>
        <v>3420.8650000000002</v>
      </c>
      <c r="M40" s="582">
        <f>+M73+95.034</f>
        <v>3038.6840000000002</v>
      </c>
      <c r="N40" s="582">
        <f>+N73+41.877</f>
        <v>3073.8365000000003</v>
      </c>
      <c r="O40" s="354">
        <f t="shared" ref="O40:O47" si="10">SUM(E40:N40)</f>
        <v>34205.554500000006</v>
      </c>
      <c r="P40" s="354">
        <f t="shared" si="8"/>
        <v>609.50750000000016</v>
      </c>
      <c r="Q40" s="651">
        <f t="shared" ref="Q40:Q47" si="11">(P40/D40)</f>
        <v>0.24733203237067783</v>
      </c>
    </row>
    <row r="41" spans="3:17" ht="14.25" x14ac:dyDescent="0.2">
      <c r="C41" s="666" t="s">
        <v>605</v>
      </c>
      <c r="D41" s="582">
        <f t="shared" si="9"/>
        <v>45329.941751501348</v>
      </c>
      <c r="E41" s="582">
        <f t="shared" ref="E41:N41" si="12">+E74</f>
        <v>47083.121044223233</v>
      </c>
      <c r="F41" s="582">
        <f t="shared" si="12"/>
        <v>49119.437478443433</v>
      </c>
      <c r="G41" s="582">
        <f t="shared" si="12"/>
        <v>51148.392820139117</v>
      </c>
      <c r="H41" s="582">
        <f t="shared" si="12"/>
        <v>52914.018524624538</v>
      </c>
      <c r="I41" s="582">
        <f t="shared" si="12"/>
        <v>54935.23608159837</v>
      </c>
      <c r="J41" s="582">
        <f t="shared" si="12"/>
        <v>56964.657449348721</v>
      </c>
      <c r="K41" s="582">
        <f t="shared" si="12"/>
        <v>59010.763689162304</v>
      </c>
      <c r="L41" s="582">
        <f t="shared" si="12"/>
        <v>61197.718073359487</v>
      </c>
      <c r="M41" s="582">
        <f t="shared" si="12"/>
        <v>62810.169185690109</v>
      </c>
      <c r="N41" s="582">
        <f t="shared" si="12"/>
        <v>64694.474261260817</v>
      </c>
      <c r="O41" s="354">
        <f t="shared" si="10"/>
        <v>559877.98860785016</v>
      </c>
      <c r="P41" s="354">
        <f t="shared" si="8"/>
        <v>19364.532509759469</v>
      </c>
      <c r="Q41" s="651">
        <f t="shared" si="11"/>
        <v>0.42719076534260286</v>
      </c>
    </row>
    <row r="42" spans="3:17" ht="14.25" x14ac:dyDescent="0.2">
      <c r="C42" s="666" t="s">
        <v>606</v>
      </c>
      <c r="D42" s="582">
        <f t="shared" si="9"/>
        <v>39200.53</v>
      </c>
      <c r="E42" s="582">
        <f t="shared" ref="E42:F42" si="13">+E75</f>
        <v>40376.544000000002</v>
      </c>
      <c r="F42" s="582">
        <f t="shared" si="13"/>
        <v>41587.838000000003</v>
      </c>
      <c r="G42" s="582">
        <f>+G75+83</f>
        <v>42918.474999999999</v>
      </c>
      <c r="H42" s="582">
        <f t="shared" ref="H42:N42" si="14">+H75+83</f>
        <v>44203.544000000002</v>
      </c>
      <c r="I42" s="582">
        <f t="shared" si="14"/>
        <v>45527.156000000003</v>
      </c>
      <c r="J42" s="582">
        <f t="shared" si="14"/>
        <v>46890.478000000003</v>
      </c>
      <c r="K42" s="582">
        <f t="shared" si="14"/>
        <v>48294.71</v>
      </c>
      <c r="L42" s="582">
        <f t="shared" si="14"/>
        <v>49741.067999999999</v>
      </c>
      <c r="M42" s="582">
        <f t="shared" si="14"/>
        <v>51230.794999999998</v>
      </c>
      <c r="N42" s="582">
        <f t="shared" si="14"/>
        <v>52765.22885</v>
      </c>
      <c r="O42" s="354">
        <f t="shared" si="10"/>
        <v>463535.83685000008</v>
      </c>
      <c r="P42" s="354">
        <f t="shared" si="8"/>
        <v>13564.698850000001</v>
      </c>
      <c r="Q42" s="651">
        <f t="shared" si="11"/>
        <v>0.3460335574544528</v>
      </c>
    </row>
    <row r="43" spans="3:17" ht="14.25" x14ac:dyDescent="0.2">
      <c r="C43" s="666" t="s">
        <v>607</v>
      </c>
      <c r="D43" s="582">
        <f t="shared" si="9"/>
        <v>55812.691597056946</v>
      </c>
      <c r="E43" s="582">
        <f t="shared" ref="E43:N43" si="15">+E76</f>
        <v>58575.220415783529</v>
      </c>
      <c r="F43" s="582">
        <f t="shared" si="15"/>
        <v>62450.487319017469</v>
      </c>
      <c r="G43" s="582">
        <f t="shared" si="15"/>
        <v>64600.936126836132</v>
      </c>
      <c r="H43" s="582">
        <f t="shared" si="15"/>
        <v>67158.865573733565</v>
      </c>
      <c r="I43" s="582">
        <f t="shared" si="15"/>
        <v>69453.076157918273</v>
      </c>
      <c r="J43" s="582">
        <f t="shared" si="15"/>
        <v>72358.5450938797</v>
      </c>
      <c r="K43" s="582">
        <f t="shared" si="15"/>
        <v>74199.179451370161</v>
      </c>
      <c r="L43" s="582">
        <f t="shared" si="15"/>
        <v>76206.65310092266</v>
      </c>
      <c r="M43" s="582">
        <f t="shared" si="15"/>
        <v>77852.403784133043</v>
      </c>
      <c r="N43" s="582">
        <f t="shared" si="15"/>
        <v>80187.97589765703</v>
      </c>
      <c r="O43" s="354">
        <f t="shared" si="10"/>
        <v>703043.34292125143</v>
      </c>
      <c r="P43" s="354">
        <f t="shared" si="8"/>
        <v>24375.284300600084</v>
      </c>
      <c r="Q43" s="651">
        <f t="shared" si="11"/>
        <v>0.43673371778195008</v>
      </c>
    </row>
    <row r="44" spans="3:17" ht="14.25" x14ac:dyDescent="0.2">
      <c r="C44" s="666" t="s">
        <v>718</v>
      </c>
      <c r="D44" s="582">
        <f t="shared" si="9"/>
        <v>0</v>
      </c>
      <c r="E44" s="582">
        <f t="shared" ref="E44:N44" si="16">+E77</f>
        <v>0</v>
      </c>
      <c r="F44" s="582">
        <f t="shared" si="16"/>
        <v>0</v>
      </c>
      <c r="G44" s="582">
        <f t="shared" si="16"/>
        <v>0</v>
      </c>
      <c r="H44" s="582">
        <f t="shared" si="16"/>
        <v>0</v>
      </c>
      <c r="I44" s="582">
        <f t="shared" si="16"/>
        <v>0</v>
      </c>
      <c r="J44" s="582">
        <f t="shared" si="16"/>
        <v>0</v>
      </c>
      <c r="K44" s="582">
        <f t="shared" si="16"/>
        <v>0</v>
      </c>
      <c r="L44" s="582">
        <f t="shared" si="16"/>
        <v>0</v>
      </c>
      <c r="M44" s="582">
        <f t="shared" si="16"/>
        <v>0</v>
      </c>
      <c r="N44" s="582">
        <f t="shared" si="16"/>
        <v>0</v>
      </c>
      <c r="O44" s="354">
        <f t="shared" si="10"/>
        <v>0</v>
      </c>
      <c r="P44" s="354">
        <f t="shared" si="8"/>
        <v>0</v>
      </c>
      <c r="Q44" s="651" t="e">
        <f t="shared" si="11"/>
        <v>#DIV/0!</v>
      </c>
    </row>
    <row r="45" spans="3:17" ht="14.25" x14ac:dyDescent="0.2">
      <c r="C45" s="666" t="s">
        <v>608</v>
      </c>
      <c r="D45" s="655">
        <f t="shared" ref="D45:M45" si="17">SUM(D38:D43)</f>
        <v>198386.89481338253</v>
      </c>
      <c r="E45" s="655">
        <f t="shared" si="17"/>
        <v>206364.62332198149</v>
      </c>
      <c r="F45" s="655">
        <f t="shared" si="17"/>
        <v>215701.64321140817</v>
      </c>
      <c r="G45" s="655">
        <f t="shared" si="17"/>
        <v>223351.12988164506</v>
      </c>
      <c r="H45" s="655">
        <f t="shared" si="17"/>
        <v>231396.2773425756</v>
      </c>
      <c r="I45" s="655">
        <f t="shared" si="17"/>
        <v>239478.9739607196</v>
      </c>
      <c r="J45" s="655">
        <f t="shared" si="17"/>
        <v>247790.41473133775</v>
      </c>
      <c r="K45" s="655">
        <f t="shared" si="17"/>
        <v>255084.68040261202</v>
      </c>
      <c r="L45" s="655">
        <f t="shared" si="17"/>
        <v>262659.20214542618</v>
      </c>
      <c r="M45" s="655">
        <f t="shared" si="17"/>
        <v>268959.74612576637</v>
      </c>
      <c r="N45" s="655">
        <f>SUM(N38:N43)</f>
        <v>276970.04048953939</v>
      </c>
      <c r="O45" s="354">
        <f t="shared" si="10"/>
        <v>2427756.731613012</v>
      </c>
      <c r="P45" s="354">
        <f t="shared" si="8"/>
        <v>78583.145676156855</v>
      </c>
      <c r="Q45" s="651">
        <f t="shared" si="11"/>
        <v>0.39611056844293069</v>
      </c>
    </row>
    <row r="46" spans="3:17" ht="28.5" x14ac:dyDescent="0.2">
      <c r="C46" s="666" t="s">
        <v>609</v>
      </c>
      <c r="D46" s="354">
        <f t="shared" ref="D46:M46" si="18">D34-D45</f>
        <v>-3727.7969457189902</v>
      </c>
      <c r="E46" s="354">
        <f t="shared" si="18"/>
        <v>-7335.4019470214844</v>
      </c>
      <c r="F46" s="354">
        <f t="shared" si="18"/>
        <v>-8305.6385440205631</v>
      </c>
      <c r="G46" s="353">
        <f t="shared" si="18"/>
        <v>-8559.4154049446806</v>
      </c>
      <c r="H46" s="354">
        <f t="shared" si="18"/>
        <v>-8689.4062315184274</v>
      </c>
      <c r="I46" s="354">
        <f t="shared" si="18"/>
        <v>-10097.320700923912</v>
      </c>
      <c r="J46" s="354">
        <f t="shared" si="18"/>
        <v>-10063.874850783061</v>
      </c>
      <c r="K46" s="354">
        <f t="shared" si="18"/>
        <v>-8981.8490612590103</v>
      </c>
      <c r="L46" s="354">
        <f t="shared" si="18"/>
        <v>-8046.3887591632374</v>
      </c>
      <c r="M46" s="354">
        <f t="shared" si="18"/>
        <v>-3384.1355980057269</v>
      </c>
      <c r="N46" s="354">
        <f>N34-N45</f>
        <v>-3427.1622159459512</v>
      </c>
      <c r="O46" s="354">
        <f t="shared" si="10"/>
        <v>-76890.593313586054</v>
      </c>
      <c r="P46" s="354">
        <f t="shared" si="8"/>
        <v>300.634729773039</v>
      </c>
      <c r="Q46" s="651">
        <f t="shared" si="11"/>
        <v>-8.0646755751621224E-2</v>
      </c>
    </row>
    <row r="47" spans="3:17" ht="28.5" x14ac:dyDescent="0.2">
      <c r="C47" s="666" t="s">
        <v>804</v>
      </c>
      <c r="D47" s="354">
        <f t="shared" ref="D47:M47" si="19">D35-D45</f>
        <v>-11478.826945718989</v>
      </c>
      <c r="E47" s="354">
        <f t="shared" si="19"/>
        <v>-11242.027947021474</v>
      </c>
      <c r="F47" s="354">
        <f t="shared" si="19"/>
        <v>-12268.135544020566</v>
      </c>
      <c r="G47" s="354">
        <f t="shared" si="19"/>
        <v>-12580.249404944683</v>
      </c>
      <c r="H47" s="354">
        <f t="shared" si="19"/>
        <v>-12769.089231518446</v>
      </c>
      <c r="I47" s="354">
        <f t="shared" si="19"/>
        <v>-12802.811700923921</v>
      </c>
      <c r="J47" s="354">
        <f t="shared" si="19"/>
        <v>-12912.531850783067</v>
      </c>
      <c r="K47" s="354">
        <f t="shared" si="19"/>
        <v>-11815.999061259005</v>
      </c>
      <c r="L47" s="354">
        <f t="shared" si="19"/>
        <v>-10947.893759163242</v>
      </c>
      <c r="M47" s="354">
        <f t="shared" si="19"/>
        <v>-6314.6756480057375</v>
      </c>
      <c r="N47" s="354">
        <f>N35-N45</f>
        <v>-6445.618467445951</v>
      </c>
      <c r="O47" s="354">
        <f t="shared" si="10"/>
        <v>-110099.03261508609</v>
      </c>
      <c r="P47" s="354">
        <f t="shared" si="8"/>
        <v>5033.2084782730381</v>
      </c>
      <c r="Q47" s="651">
        <f t="shared" si="11"/>
        <v>-0.43847759898063149</v>
      </c>
    </row>
    <row r="48" spans="3:17" ht="14.25" x14ac:dyDescent="0.2">
      <c r="C48" s="668"/>
      <c r="D48" s="656"/>
      <c r="E48" s="656"/>
      <c r="F48" s="656"/>
      <c r="G48" s="656"/>
      <c r="H48" s="656"/>
      <c r="I48" s="656"/>
      <c r="J48" s="656"/>
      <c r="K48" s="656"/>
      <c r="L48" s="653"/>
      <c r="M48" s="656"/>
      <c r="N48" s="653"/>
      <c r="O48" s="653"/>
      <c r="P48" s="653"/>
      <c r="Q48" s="654"/>
    </row>
    <row r="49" spans="3:17" ht="14.25" x14ac:dyDescent="0.2">
      <c r="C49" s="666" t="s">
        <v>612</v>
      </c>
      <c r="D49" s="655"/>
      <c r="E49" s="655">
        <f>E26-D26</f>
        <v>3802.2096117979963</v>
      </c>
      <c r="F49" s="655">
        <f t="shared" ref="F49:N49" si="20">F26-E26</f>
        <v>3836.539560152014</v>
      </c>
      <c r="G49" s="655">
        <f t="shared" si="20"/>
        <v>2894.8549969559972</v>
      </c>
      <c r="H49" s="655">
        <f t="shared" si="20"/>
        <v>3184.9768268649932</v>
      </c>
      <c r="I49" s="655">
        <f t="shared" si="20"/>
        <v>3100.0145416710002</v>
      </c>
      <c r="J49" s="655">
        <f t="shared" si="20"/>
        <v>3203.9382679199916</v>
      </c>
      <c r="K49" s="655">
        <f t="shared" si="20"/>
        <v>3311.4448159590102</v>
      </c>
      <c r="L49" s="655">
        <f t="shared" si="20"/>
        <v>3422.6607304380013</v>
      </c>
      <c r="M49" s="655">
        <f t="shared" si="20"/>
        <v>3537.7193423499994</v>
      </c>
      <c r="N49" s="655">
        <f t="shared" si="20"/>
        <v>3063.468942906693</v>
      </c>
      <c r="O49" s="354">
        <f>SUM(E49:N49)</f>
        <v>33357.827637015696</v>
      </c>
      <c r="P49" s="354">
        <f>N49-D49</f>
        <v>3063.468942906693</v>
      </c>
      <c r="Q49" s="704"/>
    </row>
    <row r="50" spans="3:17" ht="28.5" x14ac:dyDescent="0.2">
      <c r="C50" s="666" t="s">
        <v>658</v>
      </c>
      <c r="D50" s="655"/>
      <c r="E50" s="657">
        <f>(E26/D26)-1</f>
        <v>5.2939866714846628E-2</v>
      </c>
      <c r="F50" s="657">
        <f t="shared" ref="F50:N50" si="21">(F26/E26)-1</f>
        <v>5.0732106974281876E-2</v>
      </c>
      <c r="G50" s="657">
        <f t="shared" si="21"/>
        <v>3.6431582011207109E-2</v>
      </c>
      <c r="H50" s="657">
        <f t="shared" si="21"/>
        <v>3.8673800651004786E-2</v>
      </c>
      <c r="I50" s="657">
        <f t="shared" si="21"/>
        <v>3.6240579307238896E-2</v>
      </c>
      <c r="J50" s="657">
        <f t="shared" si="21"/>
        <v>3.6145558917873633E-2</v>
      </c>
      <c r="K50" s="657">
        <f t="shared" si="21"/>
        <v>3.6055170790589397E-2</v>
      </c>
      <c r="L50" s="657">
        <f t="shared" si="21"/>
        <v>3.5969218705189432E-2</v>
      </c>
      <c r="M50" s="657">
        <f t="shared" si="21"/>
        <v>3.588753895835417E-2</v>
      </c>
      <c r="N50" s="657">
        <f t="shared" si="21"/>
        <v>2.9999994418093756E-2</v>
      </c>
      <c r="O50" s="651">
        <f>N26/D26</f>
        <v>1.4644559688452712</v>
      </c>
      <c r="P50" s="704"/>
      <c r="Q50" s="704"/>
    </row>
    <row r="51" spans="3:17" ht="12.75" thickBot="1" x14ac:dyDescent="0.25">
      <c r="Q51" s="636"/>
    </row>
    <row r="52" spans="3:17" ht="16.5" thickBot="1" x14ac:dyDescent="0.3">
      <c r="C52" s="38"/>
      <c r="D52" s="594"/>
      <c r="E52" s="843" t="s">
        <v>610</v>
      </c>
      <c r="F52" s="844"/>
      <c r="G52" s="844"/>
      <c r="H52" s="844"/>
      <c r="I52" s="844"/>
      <c r="J52" s="844"/>
      <c r="K52" s="844"/>
      <c r="L52" s="844"/>
      <c r="M52" s="845"/>
      <c r="N52" s="845"/>
      <c r="O52" s="845"/>
      <c r="P52" s="862" t="s">
        <v>719</v>
      </c>
      <c r="Q52" s="862" t="s">
        <v>720</v>
      </c>
    </row>
    <row r="53" spans="3:17" ht="17.25" thickTop="1" thickBot="1" x14ac:dyDescent="0.3">
      <c r="C53" s="427"/>
      <c r="D53" s="632"/>
      <c r="E53" s="867"/>
      <c r="F53" s="848"/>
      <c r="G53" s="848"/>
      <c r="H53" s="848"/>
      <c r="I53" s="848"/>
      <c r="J53" s="848"/>
      <c r="K53" s="848"/>
      <c r="L53" s="848"/>
      <c r="M53" s="848"/>
      <c r="N53" s="848"/>
      <c r="O53" s="848"/>
      <c r="P53" s="863"/>
      <c r="Q53" s="863"/>
    </row>
    <row r="54" spans="3:17" ht="12.75" customHeight="1" x14ac:dyDescent="0.2">
      <c r="C54" s="428"/>
      <c r="D54" s="628" t="s">
        <v>618</v>
      </c>
      <c r="E54" s="429" t="s">
        <v>366</v>
      </c>
      <c r="F54" s="429" t="s">
        <v>367</v>
      </c>
      <c r="G54" s="429" t="s">
        <v>368</v>
      </c>
      <c r="H54" s="429" t="s">
        <v>369</v>
      </c>
      <c r="I54" s="429" t="s">
        <v>370</v>
      </c>
      <c r="J54" s="429" t="s">
        <v>371</v>
      </c>
      <c r="K54" s="429" t="s">
        <v>372</v>
      </c>
      <c r="L54" s="429" t="s">
        <v>373</v>
      </c>
      <c r="M54" s="429" t="s">
        <v>374</v>
      </c>
      <c r="N54" s="429" t="s">
        <v>375</v>
      </c>
      <c r="O54" s="860" t="s">
        <v>377</v>
      </c>
      <c r="P54" s="863"/>
      <c r="Q54" s="863"/>
    </row>
    <row r="55" spans="3:17" ht="13.5" thickBot="1" x14ac:dyDescent="0.25">
      <c r="C55" s="431"/>
      <c r="D55" s="215" t="str">
        <f>D22</f>
        <v>2014/15</v>
      </c>
      <c r="E55" s="215" t="str">
        <f t="shared" ref="E55:N55" si="22">E22</f>
        <v>2015/16</v>
      </c>
      <c r="F55" s="215" t="str">
        <f t="shared" si="22"/>
        <v>2016/17</v>
      </c>
      <c r="G55" s="215" t="str">
        <f t="shared" si="22"/>
        <v>2017/18</v>
      </c>
      <c r="H55" s="215" t="str">
        <f t="shared" si="22"/>
        <v>2018/19</v>
      </c>
      <c r="I55" s="215" t="str">
        <f t="shared" si="22"/>
        <v>2019/20</v>
      </c>
      <c r="J55" s="215" t="str">
        <f t="shared" si="22"/>
        <v>2020/21</v>
      </c>
      <c r="K55" s="215" t="str">
        <f t="shared" si="22"/>
        <v>2021/22</v>
      </c>
      <c r="L55" s="215" t="str">
        <f t="shared" si="22"/>
        <v>2022/23</v>
      </c>
      <c r="M55" s="215" t="str">
        <f t="shared" si="22"/>
        <v>2023/24</v>
      </c>
      <c r="N55" s="215" t="str">
        <f t="shared" si="22"/>
        <v>2024/25</v>
      </c>
      <c r="O55" s="861"/>
      <c r="P55" s="864"/>
      <c r="Q55" s="864"/>
    </row>
    <row r="56" spans="3:17" ht="15" x14ac:dyDescent="0.25">
      <c r="C56" s="841" t="s">
        <v>470</v>
      </c>
      <c r="D56" s="865"/>
      <c r="E56" s="866"/>
      <c r="F56" s="866"/>
      <c r="G56" s="866"/>
      <c r="H56" s="866"/>
      <c r="I56" s="866"/>
      <c r="J56" s="866"/>
      <c r="K56" s="866"/>
      <c r="L56" s="866"/>
      <c r="M56" s="866"/>
      <c r="N56" s="866"/>
      <c r="O56" s="866"/>
      <c r="P56" s="633"/>
      <c r="Q56" s="634"/>
    </row>
    <row r="57" spans="3:17" ht="14.25" x14ac:dyDescent="0.2">
      <c r="C57" s="600" t="s">
        <v>592</v>
      </c>
      <c r="D57" s="587"/>
      <c r="E57" s="588"/>
      <c r="F57" s="588"/>
      <c r="G57" s="588"/>
      <c r="H57" s="588"/>
      <c r="I57" s="588"/>
      <c r="J57" s="588"/>
      <c r="K57" s="588"/>
      <c r="L57" s="588"/>
      <c r="M57" s="588"/>
      <c r="N57" s="588"/>
      <c r="O57" s="589"/>
      <c r="P57" s="589"/>
      <c r="Q57" s="589"/>
    </row>
    <row r="58" spans="3:17" ht="14.25" x14ac:dyDescent="0.2">
      <c r="C58" s="600" t="s">
        <v>593</v>
      </c>
      <c r="D58" s="590"/>
      <c r="E58" s="591"/>
      <c r="F58" s="591"/>
      <c r="G58" s="591"/>
      <c r="H58" s="591"/>
      <c r="I58" s="591"/>
      <c r="J58" s="591"/>
      <c r="K58" s="591"/>
      <c r="L58" s="591"/>
      <c r="M58" s="591"/>
      <c r="N58" s="591"/>
      <c r="O58" s="592"/>
      <c r="P58" s="592"/>
      <c r="Q58" s="592"/>
    </row>
    <row r="59" spans="3:17" ht="14.25" x14ac:dyDescent="0.2">
      <c r="C59" s="469" t="s">
        <v>594</v>
      </c>
      <c r="D59" s="582">
        <v>71821.291736113999</v>
      </c>
      <c r="E59" s="582">
        <v>74779.213347911995</v>
      </c>
      <c r="F59" s="582">
        <v>78590.423908064011</v>
      </c>
      <c r="G59" s="582">
        <v>81459.190905020005</v>
      </c>
      <c r="H59" s="582">
        <v>84617.294731885006</v>
      </c>
      <c r="I59" s="582">
        <v>87689.633273555999</v>
      </c>
      <c r="J59" s="582">
        <v>90865.064541475993</v>
      </c>
      <c r="K59" s="582">
        <v>94147.146357435005</v>
      </c>
      <c r="L59" s="583">
        <v>97539.563087873001</v>
      </c>
      <c r="M59" s="582">
        <v>101046.131430223</v>
      </c>
      <c r="N59" s="583">
        <v>104077.51537312969</v>
      </c>
      <c r="O59" s="354">
        <f t="shared" ref="O59:O64" si="23">SUM(E59:N59)</f>
        <v>894811.17695657373</v>
      </c>
      <c r="P59" s="354">
        <f t="shared" ref="P59:P64" si="24">N59-D59</f>
        <v>32256.22363701569</v>
      </c>
      <c r="Q59" s="651">
        <f t="shared" ref="Q59:Q64" si="25">P59/D59</f>
        <v>0.44911784315341474</v>
      </c>
    </row>
    <row r="60" spans="3:17" ht="14.25" x14ac:dyDescent="0.2">
      <c r="C60" s="469" t="s">
        <v>595</v>
      </c>
      <c r="D60" s="177">
        <v>39484.615720000009</v>
      </c>
      <c r="E60" s="177">
        <v>42205.020374999978</v>
      </c>
      <c r="F60" s="177">
        <v>44451.020232249975</v>
      </c>
      <c r="G60" s="177">
        <v>46161.67329821748</v>
      </c>
      <c r="H60" s="177">
        <v>48086.095290164056</v>
      </c>
      <c r="I60" s="177">
        <v>50136.358797368957</v>
      </c>
      <c r="J60" s="177">
        <v>52206.950460089989</v>
      </c>
      <c r="K60" s="177">
        <v>54289.18967509269</v>
      </c>
      <c r="L60" s="177">
        <v>56469.866000000002</v>
      </c>
      <c r="M60" s="177">
        <v>61513.574314028272</v>
      </c>
      <c r="N60" s="177">
        <v>63358.981543449125</v>
      </c>
      <c r="O60" s="354">
        <f t="shared" si="23"/>
        <v>518878.72998566047</v>
      </c>
      <c r="P60" s="354">
        <f t="shared" si="24"/>
        <v>23874.365823449116</v>
      </c>
      <c r="Q60" s="651">
        <f t="shared" si="25"/>
        <v>0.6046498209011596</v>
      </c>
    </row>
    <row r="61" spans="3:17" ht="14.25" x14ac:dyDescent="0.2">
      <c r="C61" s="469" t="s">
        <v>596</v>
      </c>
      <c r="D61" s="177">
        <v>2315.4969999999998</v>
      </c>
      <c r="E61" s="177">
        <v>2135.973</v>
      </c>
      <c r="F61" s="177">
        <v>2025.5260000000001</v>
      </c>
      <c r="G61" s="177">
        <v>2023.4159999999999</v>
      </c>
      <c r="H61" s="177">
        <v>1992.527</v>
      </c>
      <c r="I61" s="177">
        <v>2079.1750000000002</v>
      </c>
      <c r="J61" s="177">
        <v>2147.0279999999998</v>
      </c>
      <c r="K61" s="177">
        <v>2252.5140000000001</v>
      </c>
      <c r="L61" s="177">
        <v>2390.6129999999998</v>
      </c>
      <c r="M61" s="177">
        <v>2555.0837099999999</v>
      </c>
      <c r="N61" s="177">
        <v>2631.7362213000001</v>
      </c>
      <c r="O61" s="354">
        <f t="shared" si="23"/>
        <v>22233.591931300001</v>
      </c>
      <c r="P61" s="354">
        <f t="shared" si="24"/>
        <v>316.23922130000028</v>
      </c>
      <c r="Q61" s="651">
        <f t="shared" si="25"/>
        <v>0.13657509437498744</v>
      </c>
    </row>
    <row r="62" spans="3:17" ht="14.25" x14ac:dyDescent="0.2">
      <c r="C62" s="469" t="s">
        <v>597</v>
      </c>
      <c r="D62" s="177">
        <v>55309.211411549528</v>
      </c>
      <c r="E62" s="177">
        <v>56975.990452048049</v>
      </c>
      <c r="F62" s="177">
        <v>59156.914327073624</v>
      </c>
      <c r="G62" s="177">
        <v>61438.365703462907</v>
      </c>
      <c r="H62" s="177">
        <v>63707.163302908091</v>
      </c>
      <c r="I62" s="177">
        <v>65968.294459187702</v>
      </c>
      <c r="J62" s="177">
        <v>68260.25951041533</v>
      </c>
      <c r="K62" s="177">
        <v>70567.221979194641</v>
      </c>
      <c r="L62" s="177">
        <v>72601.885818870331</v>
      </c>
      <c r="M62" s="177">
        <v>74229.590856329422</v>
      </c>
      <c r="N62" s="177">
        <v>76456.478582019306</v>
      </c>
      <c r="O62" s="354">
        <f t="shared" si="23"/>
        <v>669362.16499150952</v>
      </c>
      <c r="P62" s="354">
        <f t="shared" si="24"/>
        <v>21147.267170469779</v>
      </c>
      <c r="Q62" s="651">
        <f t="shared" si="25"/>
        <v>0.38234620654985257</v>
      </c>
    </row>
    <row r="63" spans="3:17" ht="14.25" x14ac:dyDescent="0.2">
      <c r="C63" s="469" t="s">
        <v>598</v>
      </c>
      <c r="D63" s="177">
        <v>17977.452000000001</v>
      </c>
      <c r="E63" s="177">
        <v>18182.110199999999</v>
      </c>
      <c r="F63" s="177">
        <v>18340.006199999993</v>
      </c>
      <c r="G63" s="177">
        <v>18792.529569999999</v>
      </c>
      <c r="H63" s="177">
        <v>19301.529786100007</v>
      </c>
      <c r="I63" s="177">
        <v>19852.446729683001</v>
      </c>
      <c r="J63" s="177">
        <v>20419.819368573397</v>
      </c>
      <c r="K63" s="177">
        <v>21004.485329630701</v>
      </c>
      <c r="L63" s="177">
        <v>21671.012479519599</v>
      </c>
      <c r="M63" s="177">
        <v>22231.171167179895</v>
      </c>
      <c r="N63" s="177">
        <v>22898.10630219529</v>
      </c>
      <c r="O63" s="354">
        <f t="shared" si="23"/>
        <v>202693.21713288187</v>
      </c>
      <c r="P63" s="354">
        <f t="shared" si="24"/>
        <v>4920.6543021952893</v>
      </c>
      <c r="Q63" s="651">
        <f t="shared" si="25"/>
        <v>0.27371255404799794</v>
      </c>
    </row>
    <row r="64" spans="3:17" ht="28.5" x14ac:dyDescent="0.2">
      <c r="C64" s="469" t="s">
        <v>599</v>
      </c>
      <c r="D64" s="581">
        <v>7751.03</v>
      </c>
      <c r="E64" s="581">
        <v>3906.6260000000002</v>
      </c>
      <c r="F64" s="581">
        <v>3962.4969999999998</v>
      </c>
      <c r="G64" s="581">
        <v>4020.8339999999998</v>
      </c>
      <c r="H64" s="581">
        <v>4079.6830000000123</v>
      </c>
      <c r="I64" s="581">
        <v>2705.491</v>
      </c>
      <c r="J64" s="581">
        <v>2848.6570000000002</v>
      </c>
      <c r="K64" s="581">
        <v>2834.15</v>
      </c>
      <c r="L64" s="581">
        <v>2901.5050000000001</v>
      </c>
      <c r="M64" s="581">
        <v>2930.5400499999996</v>
      </c>
      <c r="N64" s="581">
        <v>3018.4562514999998</v>
      </c>
      <c r="O64" s="354">
        <f t="shared" si="23"/>
        <v>33208.43930150001</v>
      </c>
      <c r="P64" s="354">
        <f t="shared" si="24"/>
        <v>-4732.5737485</v>
      </c>
      <c r="Q64" s="651">
        <f t="shared" si="25"/>
        <v>-0.61057353003407289</v>
      </c>
    </row>
    <row r="65" spans="3:17" ht="14.25" x14ac:dyDescent="0.2">
      <c r="C65" s="600" t="str">
        <f>C32</f>
        <v>Other Income:</v>
      </c>
      <c r="D65" s="584"/>
      <c r="E65" s="585"/>
      <c r="F65" s="585"/>
      <c r="G65" s="585"/>
      <c r="H65" s="585"/>
      <c r="I65" s="585"/>
      <c r="J65" s="585"/>
      <c r="K65" s="585"/>
      <c r="L65" s="585"/>
      <c r="M65" s="585"/>
      <c r="N65" s="585"/>
      <c r="O65" s="652"/>
      <c r="P65" s="652"/>
      <c r="Q65" s="658"/>
    </row>
    <row r="66" spans="3:17" ht="14.25" x14ac:dyDescent="0.2">
      <c r="C66" s="469" t="s">
        <v>601</v>
      </c>
      <c r="D66" s="582"/>
      <c r="E66" s="582"/>
      <c r="F66" s="582"/>
      <c r="G66" s="582"/>
      <c r="H66" s="582"/>
      <c r="I66" s="582"/>
      <c r="J66" s="582"/>
      <c r="K66" s="582"/>
      <c r="L66" s="582"/>
      <c r="M66" s="582"/>
      <c r="N66" s="582"/>
      <c r="O66" s="354">
        <f>SUM(E66:N66)</f>
        <v>0</v>
      </c>
      <c r="P66" s="354">
        <f>N66-D66</f>
        <v>0</v>
      </c>
      <c r="Q66" s="651" t="e">
        <f>P66/D66</f>
        <v>#DIV/0!</v>
      </c>
    </row>
    <row r="67" spans="3:17" ht="14.25" x14ac:dyDescent="0.2">
      <c r="C67" s="469" t="s">
        <v>602</v>
      </c>
      <c r="D67" s="655">
        <f t="shared" ref="D67:N67" si="26">SUM(D57:D66)</f>
        <v>194659.09786766354</v>
      </c>
      <c r="E67" s="655">
        <f t="shared" si="26"/>
        <v>198184.93337496</v>
      </c>
      <c r="F67" s="655">
        <f t="shared" si="26"/>
        <v>206526.38766738761</v>
      </c>
      <c r="G67" s="655">
        <f t="shared" si="26"/>
        <v>213896.00947670042</v>
      </c>
      <c r="H67" s="655">
        <f t="shared" si="26"/>
        <v>221784.2931110572</v>
      </c>
      <c r="I67" s="655">
        <f t="shared" si="26"/>
        <v>228431.39925979567</v>
      </c>
      <c r="J67" s="655">
        <f t="shared" si="26"/>
        <v>236747.77888055469</v>
      </c>
      <c r="K67" s="655">
        <f t="shared" si="26"/>
        <v>245094.70734135303</v>
      </c>
      <c r="L67" s="655">
        <f t="shared" si="26"/>
        <v>253574.44538626293</v>
      </c>
      <c r="M67" s="655">
        <f t="shared" si="26"/>
        <v>264506.09152776055</v>
      </c>
      <c r="N67" s="655">
        <f t="shared" si="26"/>
        <v>272441.27427359344</v>
      </c>
      <c r="O67" s="354">
        <f>SUM(E67:N67)</f>
        <v>2341187.3202994252</v>
      </c>
      <c r="P67" s="354">
        <f>N67-D67</f>
        <v>77782.176405929902</v>
      </c>
      <c r="Q67" s="651">
        <f>P67/D67</f>
        <v>0.39958151074351073</v>
      </c>
    </row>
    <row r="68" spans="3:17" ht="28.5" x14ac:dyDescent="0.2">
      <c r="C68" s="469" t="s">
        <v>803</v>
      </c>
      <c r="D68" s="655">
        <f t="shared" ref="D68:N68" si="27">D67-D64</f>
        <v>186908.06786766354</v>
      </c>
      <c r="E68" s="655">
        <f t="shared" si="27"/>
        <v>194278.30737496002</v>
      </c>
      <c r="F68" s="655">
        <f t="shared" si="27"/>
        <v>202563.8906673876</v>
      </c>
      <c r="G68" s="655">
        <f t="shared" si="27"/>
        <v>209875.17547670042</v>
      </c>
      <c r="H68" s="655">
        <f t="shared" si="27"/>
        <v>217704.61011105718</v>
      </c>
      <c r="I68" s="655">
        <f t="shared" si="27"/>
        <v>225725.90825979566</v>
      </c>
      <c r="J68" s="655">
        <f t="shared" si="27"/>
        <v>233899.12188055468</v>
      </c>
      <c r="K68" s="655">
        <f t="shared" si="27"/>
        <v>242260.55734135304</v>
      </c>
      <c r="L68" s="655">
        <f t="shared" si="27"/>
        <v>250672.94038626293</v>
      </c>
      <c r="M68" s="655">
        <f t="shared" si="27"/>
        <v>261575.55147776054</v>
      </c>
      <c r="N68" s="655">
        <f t="shared" si="27"/>
        <v>269422.81802209344</v>
      </c>
      <c r="O68" s="354">
        <f>SUM(E68:N68)</f>
        <v>2307978.8809979255</v>
      </c>
      <c r="P68" s="354">
        <f>N68-D68</f>
        <v>82514.750154429901</v>
      </c>
      <c r="Q68" s="651">
        <f>P68/D68</f>
        <v>0.44147238316567905</v>
      </c>
    </row>
    <row r="69" spans="3:17" ht="14.25" x14ac:dyDescent="0.2">
      <c r="C69" s="219"/>
      <c r="D69" s="177"/>
      <c r="E69" s="177"/>
      <c r="F69" s="177"/>
      <c r="G69" s="177"/>
      <c r="H69" s="177"/>
      <c r="I69" s="177"/>
      <c r="J69" s="177"/>
      <c r="K69" s="177"/>
      <c r="L69" s="466"/>
      <c r="M69" s="177"/>
      <c r="N69" s="466"/>
      <c r="O69" s="354"/>
      <c r="P69" s="354"/>
      <c r="Q69" s="354"/>
    </row>
    <row r="70" spans="3:17" ht="15" x14ac:dyDescent="0.25">
      <c r="C70" s="841" t="s">
        <v>472</v>
      </c>
      <c r="D70" s="865"/>
      <c r="E70" s="866"/>
      <c r="F70" s="866"/>
      <c r="G70" s="866"/>
      <c r="H70" s="866"/>
      <c r="I70" s="866"/>
      <c r="J70" s="866"/>
      <c r="K70" s="866"/>
      <c r="L70" s="866"/>
      <c r="M70" s="866"/>
      <c r="N70" s="866"/>
      <c r="O70" s="866"/>
      <c r="P70" s="630"/>
      <c r="Q70" s="586"/>
    </row>
    <row r="71" spans="3:17" ht="14.25" x14ac:dyDescent="0.2">
      <c r="C71" s="600" t="s">
        <v>603</v>
      </c>
      <c r="D71" s="584"/>
      <c r="E71" s="585"/>
      <c r="F71" s="585"/>
      <c r="G71" s="585"/>
      <c r="H71" s="585"/>
      <c r="I71" s="585"/>
      <c r="J71" s="585"/>
      <c r="K71" s="585"/>
      <c r="L71" s="585"/>
      <c r="M71" s="585"/>
      <c r="N71" s="585"/>
      <c r="O71" s="586"/>
      <c r="P71" s="586"/>
      <c r="Q71" s="586"/>
    </row>
    <row r="72" spans="3:17" ht="14.25" x14ac:dyDescent="0.2">
      <c r="C72" s="666" t="s">
        <v>604</v>
      </c>
      <c r="D72" s="582">
        <v>55579.402464824241</v>
      </c>
      <c r="E72" s="582">
        <v>57331.776861974729</v>
      </c>
      <c r="F72" s="582">
        <v>59374.946413947262</v>
      </c>
      <c r="G72" s="582">
        <v>61393.755934669811</v>
      </c>
      <c r="H72" s="582">
        <v>63468.013244217502</v>
      </c>
      <c r="I72" s="582">
        <v>65585.515721202974</v>
      </c>
      <c r="J72" s="582">
        <v>67727.463188109337</v>
      </c>
      <c r="K72" s="582">
        <v>69843.42026207957</v>
      </c>
      <c r="L72" s="582">
        <v>72092.897971144019</v>
      </c>
      <c r="M72" s="582">
        <v>74027.694155943231</v>
      </c>
      <c r="N72" s="582">
        <v>76248.524980621529</v>
      </c>
      <c r="O72" s="354">
        <f>SUM(E72:N72)</f>
        <v>667094.00873390993</v>
      </c>
      <c r="P72" s="354">
        <f t="shared" ref="P72:P80" si="28">N72-D72</f>
        <v>20669.122515797288</v>
      </c>
      <c r="Q72" s="651">
        <f>P72/D72</f>
        <v>0.37188457592502205</v>
      </c>
    </row>
    <row r="73" spans="3:17" ht="14.25" x14ac:dyDescent="0.2">
      <c r="C73" s="666" t="s">
        <v>805</v>
      </c>
      <c r="D73" s="177">
        <v>2464.3290000000002</v>
      </c>
      <c r="E73" s="177">
        <v>2574</v>
      </c>
      <c r="F73" s="177">
        <v>2778.0990000000002</v>
      </c>
      <c r="G73" s="177">
        <v>2933.8780000000002</v>
      </c>
      <c r="H73" s="177">
        <v>3333.4279999999999</v>
      </c>
      <c r="I73" s="177">
        <v>3699.1370000000002</v>
      </c>
      <c r="J73" s="177">
        <v>3612.3809999999999</v>
      </c>
      <c r="K73" s="177">
        <v>3544.2359999999999</v>
      </c>
      <c r="L73" s="177">
        <v>3275.7240000000002</v>
      </c>
      <c r="M73" s="177">
        <v>2943.65</v>
      </c>
      <c r="N73" s="177">
        <v>3031.9595000000004</v>
      </c>
      <c r="O73" s="354">
        <f t="shared" ref="O73:O80" si="29">SUM(E73:N73)</f>
        <v>31726.492500000004</v>
      </c>
      <c r="P73" s="354">
        <f t="shared" si="28"/>
        <v>567.63050000000021</v>
      </c>
      <c r="Q73" s="651">
        <f t="shared" ref="Q73:Q80" si="30">P73/D73</f>
        <v>0.23033876564371078</v>
      </c>
    </row>
    <row r="74" spans="3:17" ht="14.25" x14ac:dyDescent="0.2">
      <c r="C74" s="666" t="s">
        <v>605</v>
      </c>
      <c r="D74" s="177">
        <v>45329.941751501348</v>
      </c>
      <c r="E74" s="177">
        <v>47083.121044223233</v>
      </c>
      <c r="F74" s="177">
        <v>49119.437478443433</v>
      </c>
      <c r="G74" s="177">
        <v>51148.392820139117</v>
      </c>
      <c r="H74" s="177">
        <v>52914.018524624538</v>
      </c>
      <c r="I74" s="177">
        <v>54935.23608159837</v>
      </c>
      <c r="J74" s="177">
        <v>56964.657449348721</v>
      </c>
      <c r="K74" s="177">
        <v>59010.763689162304</v>
      </c>
      <c r="L74" s="177">
        <v>61197.718073359487</v>
      </c>
      <c r="M74" s="177">
        <v>62810.169185690109</v>
      </c>
      <c r="N74" s="177">
        <v>64694.474261260817</v>
      </c>
      <c r="O74" s="354">
        <f t="shared" si="29"/>
        <v>559877.98860785016</v>
      </c>
      <c r="P74" s="354">
        <f t="shared" si="28"/>
        <v>19364.532509759469</v>
      </c>
      <c r="Q74" s="651">
        <f t="shared" si="30"/>
        <v>0.42719076534260286</v>
      </c>
    </row>
    <row r="75" spans="3:17" ht="14.25" x14ac:dyDescent="0.2">
      <c r="C75" s="666" t="s">
        <v>606</v>
      </c>
      <c r="D75" s="177">
        <v>39200.53</v>
      </c>
      <c r="E75" s="177">
        <v>40376.544000000002</v>
      </c>
      <c r="F75" s="177">
        <v>41587.838000000003</v>
      </c>
      <c r="G75" s="177">
        <v>42835.474999999999</v>
      </c>
      <c r="H75" s="177">
        <v>44120.544000000002</v>
      </c>
      <c r="I75" s="177">
        <v>45444.156000000003</v>
      </c>
      <c r="J75" s="177">
        <v>46807.478000000003</v>
      </c>
      <c r="K75" s="177">
        <v>48211.71</v>
      </c>
      <c r="L75" s="466">
        <v>49658.067999999999</v>
      </c>
      <c r="M75" s="177">
        <v>51147.794999999998</v>
      </c>
      <c r="N75" s="466">
        <v>52682.22885</v>
      </c>
      <c r="O75" s="354">
        <f t="shared" si="29"/>
        <v>462871.83685000008</v>
      </c>
      <c r="P75" s="354">
        <f t="shared" si="28"/>
        <v>13481.698850000001</v>
      </c>
      <c r="Q75" s="651">
        <f t="shared" si="30"/>
        <v>0.3439162391426851</v>
      </c>
    </row>
    <row r="76" spans="3:17" ht="14.25" x14ac:dyDescent="0.2">
      <c r="C76" s="666" t="s">
        <v>607</v>
      </c>
      <c r="D76" s="177">
        <v>55812.691597056946</v>
      </c>
      <c r="E76" s="177">
        <v>58575.220415783529</v>
      </c>
      <c r="F76" s="177">
        <v>62450.487319017469</v>
      </c>
      <c r="G76" s="177">
        <v>64600.936126836132</v>
      </c>
      <c r="H76" s="177">
        <v>67158.865573733565</v>
      </c>
      <c r="I76" s="177">
        <v>69453.076157918273</v>
      </c>
      <c r="J76" s="177">
        <v>72358.5450938797</v>
      </c>
      <c r="K76" s="177">
        <v>74199.179451370161</v>
      </c>
      <c r="L76" s="466">
        <v>76206.65310092266</v>
      </c>
      <c r="M76" s="177">
        <v>77852.403784133043</v>
      </c>
      <c r="N76" s="466">
        <v>80187.97589765703</v>
      </c>
      <c r="O76" s="354">
        <f t="shared" si="29"/>
        <v>703043.34292125143</v>
      </c>
      <c r="P76" s="354">
        <f t="shared" si="28"/>
        <v>24375.284300600084</v>
      </c>
      <c r="Q76" s="651">
        <f t="shared" si="30"/>
        <v>0.43673371778195008</v>
      </c>
    </row>
    <row r="77" spans="3:17" ht="14.25" x14ac:dyDescent="0.2">
      <c r="C77" s="666" t="s">
        <v>718</v>
      </c>
      <c r="D77" s="466"/>
      <c r="E77" s="466"/>
      <c r="F77" s="466"/>
      <c r="G77" s="466"/>
      <c r="H77" s="466"/>
      <c r="I77" s="466"/>
      <c r="J77" s="466"/>
      <c r="K77" s="466"/>
      <c r="L77" s="466"/>
      <c r="M77" s="466"/>
      <c r="N77" s="466"/>
      <c r="O77" s="354">
        <f t="shared" si="29"/>
        <v>0</v>
      </c>
      <c r="P77" s="354">
        <f t="shared" si="28"/>
        <v>0</v>
      </c>
      <c r="Q77" s="651" t="e">
        <f t="shared" si="30"/>
        <v>#DIV/0!</v>
      </c>
    </row>
    <row r="78" spans="3:17" ht="14.25" x14ac:dyDescent="0.2">
      <c r="C78" s="666" t="s">
        <v>608</v>
      </c>
      <c r="D78" s="655">
        <f t="shared" ref="D78:N78" si="31">SUM(D71:D76)</f>
        <v>198386.89481338253</v>
      </c>
      <c r="E78" s="655">
        <f t="shared" si="31"/>
        <v>205940.66232198148</v>
      </c>
      <c r="F78" s="655">
        <f t="shared" si="31"/>
        <v>215310.80821140815</v>
      </c>
      <c r="G78" s="655">
        <f t="shared" si="31"/>
        <v>222912.43788164508</v>
      </c>
      <c r="H78" s="655">
        <f t="shared" si="31"/>
        <v>230994.86934257561</v>
      </c>
      <c r="I78" s="655">
        <f t="shared" si="31"/>
        <v>239117.12096071959</v>
      </c>
      <c r="J78" s="655">
        <f t="shared" si="31"/>
        <v>247470.52473133773</v>
      </c>
      <c r="K78" s="655">
        <f t="shared" si="31"/>
        <v>254809.30940261204</v>
      </c>
      <c r="L78" s="655">
        <f t="shared" si="31"/>
        <v>262431.06114542618</v>
      </c>
      <c r="M78" s="655">
        <f t="shared" si="31"/>
        <v>268781.71212576638</v>
      </c>
      <c r="N78" s="655">
        <f t="shared" si="31"/>
        <v>276845.16348953941</v>
      </c>
      <c r="O78" s="354">
        <f t="shared" si="29"/>
        <v>2424613.6696130121</v>
      </c>
      <c r="P78" s="354">
        <f t="shared" si="28"/>
        <v>78458.268676156877</v>
      </c>
      <c r="Q78" s="651">
        <f t="shared" si="30"/>
        <v>0.39548110650131685</v>
      </c>
    </row>
    <row r="79" spans="3:17" ht="28.5" x14ac:dyDescent="0.2">
      <c r="C79" s="666" t="s">
        <v>609</v>
      </c>
      <c r="D79" s="655">
        <f t="shared" ref="D79:N79" si="32">D67-D78</f>
        <v>-3727.7969457189902</v>
      </c>
      <c r="E79" s="655">
        <f t="shared" si="32"/>
        <v>-7755.7289470214746</v>
      </c>
      <c r="F79" s="655">
        <f t="shared" si="32"/>
        <v>-8784.4205440205405</v>
      </c>
      <c r="G79" s="655">
        <f t="shared" si="32"/>
        <v>-9016.4284049446578</v>
      </c>
      <c r="H79" s="655">
        <f t="shared" si="32"/>
        <v>-9210.5762315184111</v>
      </c>
      <c r="I79" s="655">
        <f t="shared" si="32"/>
        <v>-10685.721700923925</v>
      </c>
      <c r="J79" s="655">
        <f t="shared" si="32"/>
        <v>-10722.745850783045</v>
      </c>
      <c r="K79" s="655">
        <f t="shared" si="32"/>
        <v>-9714.6020612590073</v>
      </c>
      <c r="L79" s="655">
        <f t="shared" si="32"/>
        <v>-8856.6157591632509</v>
      </c>
      <c r="M79" s="655">
        <f t="shared" si="32"/>
        <v>-4275.6205980058294</v>
      </c>
      <c r="N79" s="655">
        <f t="shared" si="32"/>
        <v>-4403.8892159459647</v>
      </c>
      <c r="O79" s="354">
        <f t="shared" si="29"/>
        <v>-83426.349313586106</v>
      </c>
      <c r="P79" s="354">
        <f t="shared" si="28"/>
        <v>-676.09227022697451</v>
      </c>
      <c r="Q79" s="651">
        <f t="shared" si="30"/>
        <v>0.1813651011768225</v>
      </c>
    </row>
    <row r="80" spans="3:17" ht="28.5" x14ac:dyDescent="0.2">
      <c r="C80" s="666" t="s">
        <v>804</v>
      </c>
      <c r="D80" s="655">
        <f t="shared" ref="D80:N80" si="33">D68-D78</f>
        <v>-11478.826945718989</v>
      </c>
      <c r="E80" s="655">
        <f t="shared" si="33"/>
        <v>-11662.354947021464</v>
      </c>
      <c r="F80" s="655">
        <f t="shared" si="33"/>
        <v>-12746.917544020544</v>
      </c>
      <c r="G80" s="655">
        <f t="shared" si="33"/>
        <v>-13037.26240494466</v>
      </c>
      <c r="H80" s="655">
        <f t="shared" si="33"/>
        <v>-13290.25923151843</v>
      </c>
      <c r="I80" s="655">
        <f t="shared" si="33"/>
        <v>-13391.212700923934</v>
      </c>
      <c r="J80" s="655">
        <f t="shared" si="33"/>
        <v>-13571.402850783052</v>
      </c>
      <c r="K80" s="655">
        <f t="shared" si="33"/>
        <v>-12548.752061259001</v>
      </c>
      <c r="L80" s="655">
        <f t="shared" si="33"/>
        <v>-11758.120759163256</v>
      </c>
      <c r="M80" s="655">
        <f t="shared" si="33"/>
        <v>-7206.1606480058399</v>
      </c>
      <c r="N80" s="655">
        <f t="shared" si="33"/>
        <v>-7422.3454674459645</v>
      </c>
      <c r="O80" s="354">
        <f t="shared" si="29"/>
        <v>-116634.78861508615</v>
      </c>
      <c r="P80" s="354">
        <f t="shared" si="28"/>
        <v>4056.4814782730245</v>
      </c>
      <c r="Q80" s="651">
        <f t="shared" si="30"/>
        <v>-0.35338815520569228</v>
      </c>
    </row>
    <row r="81" spans="3:17" ht="14.25" x14ac:dyDescent="0.2">
      <c r="C81" s="668"/>
      <c r="D81" s="177"/>
      <c r="E81" s="177"/>
      <c r="F81" s="177"/>
      <c r="G81" s="177"/>
      <c r="H81" s="177"/>
      <c r="I81" s="177"/>
      <c r="J81" s="177"/>
      <c r="K81" s="177"/>
      <c r="L81" s="466"/>
      <c r="M81" s="177"/>
      <c r="N81" s="466"/>
      <c r="O81" s="466"/>
      <c r="P81" s="466"/>
      <c r="Q81" s="177"/>
    </row>
    <row r="82" spans="3:17" ht="14.25" x14ac:dyDescent="0.2">
      <c r="C82" s="666" t="s">
        <v>612</v>
      </c>
      <c r="D82" s="654"/>
      <c r="E82" s="655">
        <f>E59-D59</f>
        <v>2957.9216117979959</v>
      </c>
      <c r="F82" s="655">
        <f t="shared" ref="F82:N82" si="34">F59-E59</f>
        <v>3811.2105601520161</v>
      </c>
      <c r="G82" s="655">
        <f t="shared" si="34"/>
        <v>2868.7669969559938</v>
      </c>
      <c r="H82" s="655">
        <f t="shared" si="34"/>
        <v>3158.1038268650009</v>
      </c>
      <c r="I82" s="655">
        <f t="shared" si="34"/>
        <v>3072.3385416709934</v>
      </c>
      <c r="J82" s="655">
        <f t="shared" si="34"/>
        <v>3175.4312679199938</v>
      </c>
      <c r="K82" s="655">
        <f t="shared" si="34"/>
        <v>3282.0818159590126</v>
      </c>
      <c r="L82" s="655">
        <f t="shared" si="34"/>
        <v>3392.4167304379953</v>
      </c>
      <c r="M82" s="655">
        <f t="shared" si="34"/>
        <v>3506.5683423500013</v>
      </c>
      <c r="N82" s="655">
        <f t="shared" si="34"/>
        <v>3031.3839429066866</v>
      </c>
      <c r="O82" s="655">
        <f>N59-D59</f>
        <v>32256.22363701569</v>
      </c>
      <c r="P82" s="354">
        <f>N82-D82</f>
        <v>3031.3839429066866</v>
      </c>
      <c r="Q82" s="704"/>
    </row>
    <row r="83" spans="3:17" ht="28.5" x14ac:dyDescent="0.2">
      <c r="C83" s="666" t="s">
        <v>658</v>
      </c>
      <c r="D83" s="655"/>
      <c r="E83" s="657">
        <f>(E59/D59)-1</f>
        <v>4.1184466894107041E-2</v>
      </c>
      <c r="F83" s="657">
        <f t="shared" ref="F83:N83" si="35">(F59/E59)-1</f>
        <v>5.0966176154064069E-2</v>
      </c>
      <c r="G83" s="657">
        <f t="shared" si="35"/>
        <v>3.6502755097897355E-2</v>
      </c>
      <c r="H83" s="657">
        <f t="shared" si="35"/>
        <v>3.8769152894573944E-2</v>
      </c>
      <c r="I83" s="657">
        <f t="shared" si="35"/>
        <v>3.6308635857549953E-2</v>
      </c>
      <c r="J83" s="657">
        <f t="shared" si="35"/>
        <v>3.6212162708149753E-2</v>
      </c>
      <c r="K83" s="657">
        <f t="shared" si="35"/>
        <v>3.6120392722121419E-2</v>
      </c>
      <c r="L83" s="657">
        <f t="shared" si="35"/>
        <v>3.6033133894026736E-2</v>
      </c>
      <c r="M83" s="657">
        <f t="shared" si="35"/>
        <v>3.5950215803109087E-2</v>
      </c>
      <c r="N83" s="657">
        <f t="shared" si="35"/>
        <v>3.0000000000000027E-2</v>
      </c>
      <c r="O83" s="651">
        <f>(N59/E59)-1</f>
        <v>0.39179740884551273</v>
      </c>
      <c r="P83" s="704"/>
      <c r="Q83" s="704"/>
    </row>
    <row r="84" spans="3:17" ht="12.75" thickBot="1" x14ac:dyDescent="0.25"/>
    <row r="85" spans="3:17" ht="16.5" thickBot="1" x14ac:dyDescent="0.3">
      <c r="E85" s="843" t="s">
        <v>611</v>
      </c>
      <c r="F85" s="844"/>
      <c r="G85" s="844"/>
      <c r="H85" s="844"/>
      <c r="I85" s="844"/>
      <c r="J85" s="844"/>
      <c r="K85" s="844"/>
      <c r="L85" s="844"/>
      <c r="M85" s="845"/>
      <c r="N85" s="845"/>
      <c r="O85" s="845"/>
      <c r="P85" s="587"/>
      <c r="Q85" s="589"/>
    </row>
    <row r="86" spans="3:17" ht="16.5" thickTop="1" x14ac:dyDescent="0.25">
      <c r="C86" s="427"/>
      <c r="D86" s="631"/>
      <c r="E86" s="847"/>
      <c r="F86" s="848"/>
      <c r="G86" s="848"/>
      <c r="H86" s="848"/>
      <c r="I86" s="848"/>
      <c r="J86" s="848"/>
      <c r="K86" s="848"/>
      <c r="L86" s="848"/>
      <c r="M86" s="848"/>
      <c r="N86" s="848"/>
      <c r="O86" s="848"/>
      <c r="P86" s="640"/>
      <c r="Q86" s="634"/>
    </row>
    <row r="87" spans="3:17" ht="12.75" customHeight="1" x14ac:dyDescent="0.2">
      <c r="C87" s="428"/>
      <c r="D87" s="429" t="s">
        <v>618</v>
      </c>
      <c r="E87" s="429" t="s">
        <v>366</v>
      </c>
      <c r="F87" s="429" t="s">
        <v>367</v>
      </c>
      <c r="G87" s="429" t="s">
        <v>368</v>
      </c>
      <c r="H87" s="429" t="s">
        <v>369</v>
      </c>
      <c r="I87" s="429" t="s">
        <v>370</v>
      </c>
      <c r="J87" s="429" t="s">
        <v>371</v>
      </c>
      <c r="K87" s="429" t="s">
        <v>372</v>
      </c>
      <c r="L87" s="429" t="s">
        <v>373</v>
      </c>
      <c r="M87" s="429" t="s">
        <v>374</v>
      </c>
      <c r="N87" s="429" t="s">
        <v>375</v>
      </c>
      <c r="O87" s="860" t="s">
        <v>377</v>
      </c>
      <c r="P87" s="640"/>
      <c r="Q87" s="634"/>
    </row>
    <row r="88" spans="3:17" ht="12.75" x14ac:dyDescent="0.2">
      <c r="C88" s="431"/>
      <c r="D88" s="215" t="str">
        <f>D55</f>
        <v>2014/15</v>
      </c>
      <c r="E88" s="215" t="str">
        <f t="shared" ref="E88:N88" si="36">E55</f>
        <v>2015/16</v>
      </c>
      <c r="F88" s="215" t="str">
        <f t="shared" si="36"/>
        <v>2016/17</v>
      </c>
      <c r="G88" s="215" t="str">
        <f t="shared" si="36"/>
        <v>2017/18</v>
      </c>
      <c r="H88" s="215" t="str">
        <f t="shared" si="36"/>
        <v>2018/19</v>
      </c>
      <c r="I88" s="215" t="str">
        <f t="shared" si="36"/>
        <v>2019/20</v>
      </c>
      <c r="J88" s="215" t="str">
        <f t="shared" si="36"/>
        <v>2020/21</v>
      </c>
      <c r="K88" s="215" t="str">
        <f t="shared" si="36"/>
        <v>2021/22</v>
      </c>
      <c r="L88" s="215" t="str">
        <f t="shared" si="36"/>
        <v>2022/23</v>
      </c>
      <c r="M88" s="215" t="str">
        <f t="shared" si="36"/>
        <v>2023/24</v>
      </c>
      <c r="N88" s="215" t="str">
        <f t="shared" si="36"/>
        <v>2024/25</v>
      </c>
      <c r="O88" s="861"/>
      <c r="P88" s="640"/>
      <c r="Q88" s="634"/>
    </row>
    <row r="89" spans="3:17" ht="15" x14ac:dyDescent="0.25">
      <c r="C89" s="868" t="s">
        <v>470</v>
      </c>
      <c r="D89" s="865"/>
      <c r="E89" s="866"/>
      <c r="F89" s="866"/>
      <c r="G89" s="866"/>
      <c r="H89" s="866"/>
      <c r="I89" s="866"/>
      <c r="J89" s="866"/>
      <c r="K89" s="866"/>
      <c r="L89" s="866"/>
      <c r="M89" s="866"/>
      <c r="N89" s="866"/>
      <c r="O89" s="866"/>
      <c r="P89" s="640"/>
      <c r="Q89" s="634"/>
    </row>
    <row r="90" spans="3:17" ht="14.25" x14ac:dyDescent="0.2">
      <c r="C90" s="600" t="s">
        <v>592</v>
      </c>
      <c r="D90" s="587"/>
      <c r="E90" s="588"/>
      <c r="F90" s="588"/>
      <c r="G90" s="588"/>
      <c r="H90" s="588"/>
      <c r="I90" s="588"/>
      <c r="J90" s="588"/>
      <c r="K90" s="588"/>
      <c r="L90" s="588"/>
      <c r="M90" s="588"/>
      <c r="N90" s="588"/>
      <c r="O90" s="588"/>
      <c r="P90" s="640"/>
      <c r="Q90" s="634"/>
    </row>
    <row r="91" spans="3:17" ht="14.25" x14ac:dyDescent="0.2">
      <c r="C91" s="600" t="s">
        <v>593</v>
      </c>
      <c r="D91" s="590"/>
      <c r="E91" s="591"/>
      <c r="F91" s="591"/>
      <c r="G91" s="591"/>
      <c r="H91" s="591"/>
      <c r="I91" s="591"/>
      <c r="J91" s="591"/>
      <c r="K91" s="591"/>
      <c r="L91" s="591"/>
      <c r="M91" s="591"/>
      <c r="N91" s="591"/>
      <c r="O91" s="591"/>
      <c r="P91" s="640"/>
      <c r="Q91" s="634"/>
    </row>
    <row r="92" spans="3:17" ht="14.25" x14ac:dyDescent="0.2">
      <c r="C92" s="666" t="s">
        <v>594</v>
      </c>
      <c r="D92" s="655">
        <f t="shared" ref="D92:D97" si="37">D26-D59</f>
        <v>0</v>
      </c>
      <c r="E92" s="655">
        <f t="shared" ref="E92:O92" si="38">E26-E59</f>
        <v>844.28800000000047</v>
      </c>
      <c r="F92" s="655">
        <f t="shared" si="38"/>
        <v>869.61699999999837</v>
      </c>
      <c r="G92" s="655">
        <f t="shared" si="38"/>
        <v>895.70500000000175</v>
      </c>
      <c r="H92" s="655">
        <f t="shared" si="38"/>
        <v>922.57799999999406</v>
      </c>
      <c r="I92" s="655">
        <f t="shared" si="38"/>
        <v>950.25400000000081</v>
      </c>
      <c r="J92" s="655">
        <f t="shared" si="38"/>
        <v>978.7609999999986</v>
      </c>
      <c r="K92" s="655">
        <f t="shared" si="38"/>
        <v>1008.1239999999962</v>
      </c>
      <c r="L92" s="655">
        <f t="shared" si="38"/>
        <v>1038.3680000000022</v>
      </c>
      <c r="M92" s="655">
        <f t="shared" si="38"/>
        <v>1069.5190000000002</v>
      </c>
      <c r="N92" s="655">
        <f t="shared" si="38"/>
        <v>1101.6040000000066</v>
      </c>
      <c r="O92" s="650">
        <f t="shared" si="38"/>
        <v>9678.8179999999702</v>
      </c>
      <c r="P92" s="640"/>
      <c r="Q92" s="634"/>
    </row>
    <row r="93" spans="3:17" ht="14.25" x14ac:dyDescent="0.2">
      <c r="C93" s="666" t="s">
        <v>595</v>
      </c>
      <c r="D93" s="655">
        <f t="shared" si="37"/>
        <v>0</v>
      </c>
      <c r="E93" s="655">
        <f t="shared" ref="E93:O93" si="39">E27-E60</f>
        <v>0</v>
      </c>
      <c r="F93" s="655">
        <f t="shared" si="39"/>
        <v>0</v>
      </c>
      <c r="G93" s="655">
        <f t="shared" si="39"/>
        <v>0</v>
      </c>
      <c r="H93" s="655">
        <f t="shared" si="39"/>
        <v>0</v>
      </c>
      <c r="I93" s="655">
        <f t="shared" si="39"/>
        <v>0</v>
      </c>
      <c r="J93" s="655">
        <f t="shared" si="39"/>
        <v>0</v>
      </c>
      <c r="K93" s="655">
        <f t="shared" si="39"/>
        <v>0</v>
      </c>
      <c r="L93" s="655">
        <f t="shared" si="39"/>
        <v>0</v>
      </c>
      <c r="M93" s="655">
        <f t="shared" si="39"/>
        <v>0</v>
      </c>
      <c r="N93" s="655">
        <f t="shared" si="39"/>
        <v>0</v>
      </c>
      <c r="O93" s="650">
        <f t="shared" si="39"/>
        <v>0</v>
      </c>
      <c r="P93" s="640"/>
      <c r="Q93" s="634"/>
    </row>
    <row r="94" spans="3:17" ht="14.25" x14ac:dyDescent="0.2">
      <c r="C94" s="666" t="s">
        <v>596</v>
      </c>
      <c r="D94" s="655">
        <f t="shared" si="37"/>
        <v>0</v>
      </c>
      <c r="E94" s="655">
        <f t="shared" ref="E94:O94" si="40">E28-E61</f>
        <v>0</v>
      </c>
      <c r="F94" s="655">
        <f t="shared" si="40"/>
        <v>0</v>
      </c>
      <c r="G94" s="655">
        <f t="shared" si="40"/>
        <v>0</v>
      </c>
      <c r="H94" s="655">
        <f t="shared" si="40"/>
        <v>0</v>
      </c>
      <c r="I94" s="655">
        <f t="shared" si="40"/>
        <v>0</v>
      </c>
      <c r="J94" s="655">
        <f t="shared" si="40"/>
        <v>0</v>
      </c>
      <c r="K94" s="655">
        <f t="shared" si="40"/>
        <v>0</v>
      </c>
      <c r="L94" s="655">
        <f t="shared" si="40"/>
        <v>0</v>
      </c>
      <c r="M94" s="655">
        <f t="shared" si="40"/>
        <v>0</v>
      </c>
      <c r="N94" s="655">
        <f t="shared" si="40"/>
        <v>0</v>
      </c>
      <c r="O94" s="650">
        <f t="shared" si="40"/>
        <v>0</v>
      </c>
      <c r="P94" s="640"/>
      <c r="Q94" s="634"/>
    </row>
    <row r="95" spans="3:17" ht="14.25" x14ac:dyDescent="0.2">
      <c r="C95" s="666" t="s">
        <v>597</v>
      </c>
      <c r="D95" s="655">
        <f t="shared" si="37"/>
        <v>0</v>
      </c>
      <c r="E95" s="655">
        <f t="shared" ref="E95:O95" si="41">E29-E62</f>
        <v>0</v>
      </c>
      <c r="F95" s="655">
        <f t="shared" si="41"/>
        <v>0</v>
      </c>
      <c r="G95" s="655">
        <f t="shared" si="41"/>
        <v>0</v>
      </c>
      <c r="H95" s="655">
        <f t="shared" si="41"/>
        <v>0</v>
      </c>
      <c r="I95" s="655">
        <f t="shared" si="41"/>
        <v>0</v>
      </c>
      <c r="J95" s="655">
        <f t="shared" si="41"/>
        <v>0</v>
      </c>
      <c r="K95" s="655">
        <f t="shared" si="41"/>
        <v>0</v>
      </c>
      <c r="L95" s="655">
        <f t="shared" si="41"/>
        <v>0</v>
      </c>
      <c r="M95" s="655">
        <f t="shared" si="41"/>
        <v>0</v>
      </c>
      <c r="N95" s="655">
        <f t="shared" si="41"/>
        <v>0</v>
      </c>
      <c r="O95" s="650">
        <f t="shared" si="41"/>
        <v>0</v>
      </c>
      <c r="P95" s="640"/>
      <c r="Q95" s="634"/>
    </row>
    <row r="96" spans="3:17" ht="14.25" x14ac:dyDescent="0.2">
      <c r="C96" s="666" t="s">
        <v>598</v>
      </c>
      <c r="D96" s="655">
        <f t="shared" si="37"/>
        <v>0</v>
      </c>
      <c r="E96" s="655">
        <f t="shared" ref="E96:O96" si="42">E30-E63</f>
        <v>0</v>
      </c>
      <c r="F96" s="655">
        <f t="shared" si="42"/>
        <v>0</v>
      </c>
      <c r="G96" s="655">
        <f t="shared" si="42"/>
        <v>0</v>
      </c>
      <c r="H96" s="655">
        <f t="shared" si="42"/>
        <v>0</v>
      </c>
      <c r="I96" s="655">
        <f t="shared" si="42"/>
        <v>0</v>
      </c>
      <c r="J96" s="655">
        <f t="shared" si="42"/>
        <v>0</v>
      </c>
      <c r="K96" s="655">
        <f t="shared" si="42"/>
        <v>0</v>
      </c>
      <c r="L96" s="655">
        <f t="shared" si="42"/>
        <v>0</v>
      </c>
      <c r="M96" s="655">
        <f t="shared" si="42"/>
        <v>0</v>
      </c>
      <c r="N96" s="655">
        <f t="shared" si="42"/>
        <v>0</v>
      </c>
      <c r="O96" s="650">
        <f t="shared" si="42"/>
        <v>0</v>
      </c>
      <c r="P96" s="640"/>
      <c r="Q96" s="634"/>
    </row>
    <row r="97" spans="3:17" ht="28.5" x14ac:dyDescent="0.2">
      <c r="C97" s="666" t="s">
        <v>599</v>
      </c>
      <c r="D97" s="659">
        <f t="shared" si="37"/>
        <v>0</v>
      </c>
      <c r="E97" s="659">
        <f t="shared" ref="E97:O97" si="43">E31-E64</f>
        <v>0</v>
      </c>
      <c r="F97" s="659">
        <f t="shared" si="43"/>
        <v>0</v>
      </c>
      <c r="G97" s="659">
        <f t="shared" si="43"/>
        <v>0</v>
      </c>
      <c r="H97" s="659">
        <f t="shared" si="43"/>
        <v>0</v>
      </c>
      <c r="I97" s="659">
        <f t="shared" si="43"/>
        <v>0</v>
      </c>
      <c r="J97" s="659">
        <f t="shared" si="43"/>
        <v>0</v>
      </c>
      <c r="K97" s="659">
        <f t="shared" si="43"/>
        <v>0</v>
      </c>
      <c r="L97" s="659">
        <f t="shared" si="43"/>
        <v>0</v>
      </c>
      <c r="M97" s="659">
        <f t="shared" si="43"/>
        <v>0</v>
      </c>
      <c r="N97" s="659">
        <f t="shared" si="43"/>
        <v>0</v>
      </c>
      <c r="O97" s="660">
        <f t="shared" si="43"/>
        <v>0</v>
      </c>
      <c r="P97" s="640"/>
      <c r="Q97" s="634"/>
    </row>
    <row r="98" spans="3:17" ht="14.25" x14ac:dyDescent="0.2">
      <c r="C98" s="667" t="str">
        <f>C65</f>
        <v>Other Income:</v>
      </c>
      <c r="D98" s="584"/>
      <c r="E98" s="585"/>
      <c r="F98" s="585"/>
      <c r="G98" s="585"/>
      <c r="H98" s="585"/>
      <c r="I98" s="585"/>
      <c r="J98" s="585"/>
      <c r="K98" s="585"/>
      <c r="L98" s="585"/>
      <c r="M98" s="585"/>
      <c r="N98" s="585"/>
      <c r="O98" s="585"/>
      <c r="P98" s="640"/>
      <c r="Q98" s="634"/>
    </row>
    <row r="99" spans="3:17" ht="14.25" x14ac:dyDescent="0.2">
      <c r="C99" s="666" t="s">
        <v>601</v>
      </c>
      <c r="D99" s="655">
        <f t="shared" ref="D99:O99" si="44">D33-D66</f>
        <v>0</v>
      </c>
      <c r="E99" s="655">
        <f t="shared" si="44"/>
        <v>0</v>
      </c>
      <c r="F99" s="655">
        <f t="shared" si="44"/>
        <v>0</v>
      </c>
      <c r="G99" s="655">
        <f t="shared" si="44"/>
        <v>0</v>
      </c>
      <c r="H99" s="655">
        <f t="shared" si="44"/>
        <v>0</v>
      </c>
      <c r="I99" s="655">
        <f t="shared" si="44"/>
        <v>0</v>
      </c>
      <c r="J99" s="655">
        <f t="shared" si="44"/>
        <v>0</v>
      </c>
      <c r="K99" s="655">
        <f t="shared" si="44"/>
        <v>0</v>
      </c>
      <c r="L99" s="655">
        <f t="shared" si="44"/>
        <v>0</v>
      </c>
      <c r="M99" s="655">
        <f t="shared" si="44"/>
        <v>0</v>
      </c>
      <c r="N99" s="655">
        <f t="shared" si="44"/>
        <v>0</v>
      </c>
      <c r="O99" s="650">
        <f t="shared" si="44"/>
        <v>0</v>
      </c>
      <c r="P99" s="640"/>
      <c r="Q99" s="634"/>
    </row>
    <row r="100" spans="3:17" ht="14.25" x14ac:dyDescent="0.2">
      <c r="C100" s="666" t="s">
        <v>602</v>
      </c>
      <c r="D100" s="655">
        <f t="shared" ref="D100:O100" si="45">D34-D67</f>
        <v>0</v>
      </c>
      <c r="E100" s="655">
        <f t="shared" si="45"/>
        <v>844.28800000000047</v>
      </c>
      <c r="F100" s="655">
        <f t="shared" si="45"/>
        <v>869.61699999999837</v>
      </c>
      <c r="G100" s="655">
        <f t="shared" si="45"/>
        <v>895.70499999995809</v>
      </c>
      <c r="H100" s="655">
        <f t="shared" si="45"/>
        <v>922.57799999997951</v>
      </c>
      <c r="I100" s="655">
        <f t="shared" si="45"/>
        <v>950.25400000001537</v>
      </c>
      <c r="J100" s="655">
        <f t="shared" si="45"/>
        <v>978.7609999999986</v>
      </c>
      <c r="K100" s="655">
        <f t="shared" si="45"/>
        <v>1008.1239999999816</v>
      </c>
      <c r="L100" s="655">
        <f t="shared" si="45"/>
        <v>1038.3680000000168</v>
      </c>
      <c r="M100" s="655">
        <f t="shared" si="45"/>
        <v>1069.5190000000875</v>
      </c>
      <c r="N100" s="655">
        <f t="shared" si="45"/>
        <v>1101.6039999999921</v>
      </c>
      <c r="O100" s="650">
        <f t="shared" si="45"/>
        <v>9678.8179999999702</v>
      </c>
      <c r="P100" s="640"/>
      <c r="Q100" s="634"/>
    </row>
    <row r="101" spans="3:17" ht="28.5" x14ac:dyDescent="0.2">
      <c r="C101" s="666" t="s">
        <v>803</v>
      </c>
      <c r="D101" s="655">
        <f t="shared" ref="D101:O101" si="46">D35-D68</f>
        <v>0</v>
      </c>
      <c r="E101" s="655">
        <f t="shared" si="46"/>
        <v>844.28800000000047</v>
      </c>
      <c r="F101" s="655">
        <f t="shared" si="46"/>
        <v>869.61699999999837</v>
      </c>
      <c r="G101" s="655">
        <f t="shared" si="46"/>
        <v>895.70499999995809</v>
      </c>
      <c r="H101" s="655">
        <f t="shared" si="46"/>
        <v>922.57799999997951</v>
      </c>
      <c r="I101" s="655">
        <f t="shared" si="46"/>
        <v>950.25400000001537</v>
      </c>
      <c r="J101" s="655">
        <f t="shared" si="46"/>
        <v>978.7609999999986</v>
      </c>
      <c r="K101" s="655">
        <f t="shared" si="46"/>
        <v>1008.1239999999816</v>
      </c>
      <c r="L101" s="655">
        <f t="shared" si="46"/>
        <v>1038.3680000000168</v>
      </c>
      <c r="M101" s="655">
        <f t="shared" si="46"/>
        <v>1069.5190000000875</v>
      </c>
      <c r="N101" s="655">
        <f t="shared" si="46"/>
        <v>1101.6039999999921</v>
      </c>
      <c r="O101" s="650">
        <f t="shared" si="46"/>
        <v>9678.8179999999702</v>
      </c>
      <c r="P101" s="640"/>
      <c r="Q101" s="634"/>
    </row>
    <row r="102" spans="3:17" ht="14.25" x14ac:dyDescent="0.2">
      <c r="C102" s="219"/>
      <c r="D102" s="177"/>
      <c r="E102" s="177"/>
      <c r="F102" s="177"/>
      <c r="G102" s="177"/>
      <c r="H102" s="177"/>
      <c r="I102" s="177"/>
      <c r="J102" s="177"/>
      <c r="K102" s="177"/>
      <c r="L102" s="466"/>
      <c r="M102" s="177"/>
      <c r="N102" s="466"/>
      <c r="O102" s="466"/>
      <c r="P102" s="640"/>
      <c r="Q102" s="634"/>
    </row>
    <row r="103" spans="3:17" ht="15" x14ac:dyDescent="0.25">
      <c r="C103" s="841" t="s">
        <v>472</v>
      </c>
      <c r="D103" s="865"/>
      <c r="E103" s="866"/>
      <c r="F103" s="866"/>
      <c r="G103" s="866"/>
      <c r="H103" s="866"/>
      <c r="I103" s="866"/>
      <c r="J103" s="866"/>
      <c r="K103" s="866"/>
      <c r="L103" s="866"/>
      <c r="M103" s="866"/>
      <c r="N103" s="866"/>
      <c r="O103" s="866"/>
      <c r="P103" s="640"/>
      <c r="Q103" s="634"/>
    </row>
    <row r="104" spans="3:17" ht="14.25" x14ac:dyDescent="0.2">
      <c r="C104" s="600" t="s">
        <v>603</v>
      </c>
      <c r="D104" s="584"/>
      <c r="E104" s="585"/>
      <c r="F104" s="585"/>
      <c r="G104" s="585"/>
      <c r="H104" s="585"/>
      <c r="I104" s="585"/>
      <c r="J104" s="585"/>
      <c r="K104" s="585"/>
      <c r="L104" s="585"/>
      <c r="M104" s="585"/>
      <c r="N104" s="585"/>
      <c r="O104" s="585"/>
      <c r="P104" s="640"/>
      <c r="Q104" s="634"/>
    </row>
    <row r="105" spans="3:17" ht="14.25" x14ac:dyDescent="0.2">
      <c r="C105" s="666" t="s">
        <v>604</v>
      </c>
      <c r="D105" s="655">
        <f>D39-D72</f>
        <v>0</v>
      </c>
      <c r="E105" s="655">
        <f t="shared" ref="E105:O105" si="47">E39-E72</f>
        <v>0</v>
      </c>
      <c r="F105" s="655">
        <f t="shared" si="47"/>
        <v>0</v>
      </c>
      <c r="G105" s="655">
        <f t="shared" si="47"/>
        <v>0</v>
      </c>
      <c r="H105" s="655">
        <f t="shared" si="47"/>
        <v>0</v>
      </c>
      <c r="I105" s="655">
        <f t="shared" si="47"/>
        <v>0</v>
      </c>
      <c r="J105" s="655">
        <f t="shared" si="47"/>
        <v>0</v>
      </c>
      <c r="K105" s="655">
        <f t="shared" si="47"/>
        <v>0</v>
      </c>
      <c r="L105" s="655">
        <f t="shared" si="47"/>
        <v>0</v>
      </c>
      <c r="M105" s="655">
        <f t="shared" si="47"/>
        <v>0</v>
      </c>
      <c r="N105" s="655">
        <f t="shared" si="47"/>
        <v>0</v>
      </c>
      <c r="O105" s="650">
        <f t="shared" si="47"/>
        <v>0</v>
      </c>
      <c r="P105" s="640"/>
      <c r="Q105" s="634"/>
    </row>
    <row r="106" spans="3:17" ht="14.25" x14ac:dyDescent="0.2">
      <c r="C106" s="666" t="s">
        <v>805</v>
      </c>
      <c r="D106" s="655">
        <f t="shared" ref="D106:O106" si="48">D40-D73</f>
        <v>0</v>
      </c>
      <c r="E106" s="655">
        <f t="shared" si="48"/>
        <v>423.96100000000024</v>
      </c>
      <c r="F106" s="655">
        <f t="shared" si="48"/>
        <v>390.83500000000004</v>
      </c>
      <c r="G106" s="655">
        <f t="shared" si="48"/>
        <v>355.69200000000001</v>
      </c>
      <c r="H106" s="655">
        <f t="shared" si="48"/>
        <v>318.4079999999999</v>
      </c>
      <c r="I106" s="655">
        <f t="shared" si="48"/>
        <v>278.85300000000007</v>
      </c>
      <c r="J106" s="655">
        <f t="shared" si="48"/>
        <v>236.88999999999987</v>
      </c>
      <c r="K106" s="655">
        <f t="shared" si="48"/>
        <v>192.37100000000009</v>
      </c>
      <c r="L106" s="655">
        <f t="shared" si="48"/>
        <v>145.14100000000008</v>
      </c>
      <c r="M106" s="655">
        <f t="shared" si="48"/>
        <v>95.034000000000106</v>
      </c>
      <c r="N106" s="655">
        <f t="shared" si="48"/>
        <v>41.876999999999953</v>
      </c>
      <c r="O106" s="650">
        <f t="shared" si="48"/>
        <v>2479.0620000000017</v>
      </c>
      <c r="P106" s="640"/>
      <c r="Q106" s="634"/>
    </row>
    <row r="107" spans="3:17" ht="14.25" x14ac:dyDescent="0.2">
      <c r="C107" s="666" t="s">
        <v>605</v>
      </c>
      <c r="D107" s="655">
        <f t="shared" ref="D107:O107" si="49">D41-D74</f>
        <v>0</v>
      </c>
      <c r="E107" s="655">
        <f t="shared" si="49"/>
        <v>0</v>
      </c>
      <c r="F107" s="655">
        <f t="shared" si="49"/>
        <v>0</v>
      </c>
      <c r="G107" s="655">
        <f t="shared" si="49"/>
        <v>0</v>
      </c>
      <c r="H107" s="655">
        <f t="shared" si="49"/>
        <v>0</v>
      </c>
      <c r="I107" s="655">
        <f t="shared" si="49"/>
        <v>0</v>
      </c>
      <c r="J107" s="655">
        <f t="shared" si="49"/>
        <v>0</v>
      </c>
      <c r="K107" s="655">
        <f t="shared" si="49"/>
        <v>0</v>
      </c>
      <c r="L107" s="655">
        <f t="shared" si="49"/>
        <v>0</v>
      </c>
      <c r="M107" s="655">
        <f t="shared" si="49"/>
        <v>0</v>
      </c>
      <c r="N107" s="655">
        <f t="shared" si="49"/>
        <v>0</v>
      </c>
      <c r="O107" s="650">
        <f t="shared" si="49"/>
        <v>0</v>
      </c>
      <c r="P107" s="640"/>
      <c r="Q107" s="634"/>
    </row>
    <row r="108" spans="3:17" ht="14.25" x14ac:dyDescent="0.2">
      <c r="C108" s="666" t="s">
        <v>606</v>
      </c>
      <c r="D108" s="655">
        <f t="shared" ref="D108:O108" si="50">D42-D75</f>
        <v>0</v>
      </c>
      <c r="E108" s="655">
        <f t="shared" si="50"/>
        <v>0</v>
      </c>
      <c r="F108" s="655">
        <f t="shared" si="50"/>
        <v>0</v>
      </c>
      <c r="G108" s="655">
        <f t="shared" si="50"/>
        <v>83</v>
      </c>
      <c r="H108" s="655">
        <f t="shared" si="50"/>
        <v>83</v>
      </c>
      <c r="I108" s="655">
        <f t="shared" si="50"/>
        <v>83</v>
      </c>
      <c r="J108" s="655">
        <f t="shared" si="50"/>
        <v>83</v>
      </c>
      <c r="K108" s="655">
        <f t="shared" si="50"/>
        <v>83</v>
      </c>
      <c r="L108" s="655">
        <f t="shared" si="50"/>
        <v>83</v>
      </c>
      <c r="M108" s="655">
        <f t="shared" si="50"/>
        <v>83</v>
      </c>
      <c r="N108" s="655">
        <f t="shared" si="50"/>
        <v>83</v>
      </c>
      <c r="O108" s="650">
        <f t="shared" si="50"/>
        <v>664</v>
      </c>
      <c r="P108" s="640"/>
      <c r="Q108" s="634"/>
    </row>
    <row r="109" spans="3:17" ht="14.25" x14ac:dyDescent="0.2">
      <c r="C109" s="666" t="s">
        <v>607</v>
      </c>
      <c r="D109" s="655">
        <f t="shared" ref="D109:O109" si="51">D43-D76</f>
        <v>0</v>
      </c>
      <c r="E109" s="655">
        <f t="shared" si="51"/>
        <v>0</v>
      </c>
      <c r="F109" s="655">
        <f t="shared" si="51"/>
        <v>0</v>
      </c>
      <c r="G109" s="655">
        <f t="shared" si="51"/>
        <v>0</v>
      </c>
      <c r="H109" s="655">
        <f t="shared" si="51"/>
        <v>0</v>
      </c>
      <c r="I109" s="655">
        <f t="shared" si="51"/>
        <v>0</v>
      </c>
      <c r="J109" s="655">
        <f t="shared" si="51"/>
        <v>0</v>
      </c>
      <c r="K109" s="655">
        <f t="shared" si="51"/>
        <v>0</v>
      </c>
      <c r="L109" s="655">
        <f t="shared" si="51"/>
        <v>0</v>
      </c>
      <c r="M109" s="655">
        <f t="shared" si="51"/>
        <v>0</v>
      </c>
      <c r="N109" s="655">
        <f t="shared" si="51"/>
        <v>0</v>
      </c>
      <c r="O109" s="650">
        <f t="shared" si="51"/>
        <v>0</v>
      </c>
      <c r="P109" s="640"/>
      <c r="Q109" s="634"/>
    </row>
    <row r="110" spans="3:17" ht="14.25" x14ac:dyDescent="0.2">
      <c r="C110" s="666" t="s">
        <v>718</v>
      </c>
      <c r="D110" s="655">
        <f>D44-D77</f>
        <v>0</v>
      </c>
      <c r="E110" s="655">
        <f t="shared" ref="E110:O110" si="52">E44-E77</f>
        <v>0</v>
      </c>
      <c r="F110" s="655">
        <f t="shared" si="52"/>
        <v>0</v>
      </c>
      <c r="G110" s="655">
        <f t="shared" si="52"/>
        <v>0</v>
      </c>
      <c r="H110" s="655">
        <f t="shared" si="52"/>
        <v>0</v>
      </c>
      <c r="I110" s="655">
        <f t="shared" si="52"/>
        <v>0</v>
      </c>
      <c r="J110" s="655">
        <f t="shared" si="52"/>
        <v>0</v>
      </c>
      <c r="K110" s="655">
        <f t="shared" si="52"/>
        <v>0</v>
      </c>
      <c r="L110" s="655">
        <f t="shared" si="52"/>
        <v>0</v>
      </c>
      <c r="M110" s="655">
        <f t="shared" si="52"/>
        <v>0</v>
      </c>
      <c r="N110" s="655">
        <f t="shared" si="52"/>
        <v>0</v>
      </c>
      <c r="O110" s="650">
        <f t="shared" si="52"/>
        <v>0</v>
      </c>
      <c r="P110" s="640"/>
      <c r="Q110" s="634"/>
    </row>
    <row r="111" spans="3:17" ht="14.25" x14ac:dyDescent="0.2">
      <c r="C111" s="666" t="s">
        <v>608</v>
      </c>
      <c r="D111" s="655">
        <f t="shared" ref="D111:O111" si="53">D45-D78</f>
        <v>0</v>
      </c>
      <c r="E111" s="655">
        <f t="shared" si="53"/>
        <v>423.96100000001024</v>
      </c>
      <c r="F111" s="655">
        <f t="shared" si="53"/>
        <v>390.83500000002095</v>
      </c>
      <c r="G111" s="655">
        <f t="shared" si="53"/>
        <v>438.69199999998091</v>
      </c>
      <c r="H111" s="655">
        <f t="shared" si="53"/>
        <v>401.40799999999581</v>
      </c>
      <c r="I111" s="655">
        <f t="shared" si="53"/>
        <v>361.85300000000279</v>
      </c>
      <c r="J111" s="655">
        <f t="shared" si="53"/>
        <v>319.89000000001397</v>
      </c>
      <c r="K111" s="655">
        <f t="shared" si="53"/>
        <v>275.37099999998463</v>
      </c>
      <c r="L111" s="655">
        <f t="shared" si="53"/>
        <v>228.14100000000326</v>
      </c>
      <c r="M111" s="655">
        <f t="shared" si="53"/>
        <v>178.0339999999851</v>
      </c>
      <c r="N111" s="655">
        <f t="shared" si="53"/>
        <v>124.87699999997858</v>
      </c>
      <c r="O111" s="650">
        <f t="shared" si="53"/>
        <v>3143.061999999918</v>
      </c>
      <c r="P111" s="640"/>
      <c r="Q111" s="634"/>
    </row>
    <row r="112" spans="3:17" ht="28.5" x14ac:dyDescent="0.2">
      <c r="C112" s="666" t="s">
        <v>609</v>
      </c>
      <c r="D112" s="655">
        <f t="shared" ref="D112:O112" si="54">D46-D79</f>
        <v>0</v>
      </c>
      <c r="E112" s="655">
        <f t="shared" si="54"/>
        <v>420.32699999999022</v>
      </c>
      <c r="F112" s="655">
        <f t="shared" si="54"/>
        <v>478.78199999997742</v>
      </c>
      <c r="G112" s="655">
        <f t="shared" si="54"/>
        <v>457.01299999997718</v>
      </c>
      <c r="H112" s="655">
        <f t="shared" si="54"/>
        <v>521.1699999999837</v>
      </c>
      <c r="I112" s="655">
        <f t="shared" si="54"/>
        <v>588.40100000001257</v>
      </c>
      <c r="J112" s="655">
        <f t="shared" si="54"/>
        <v>658.87099999998463</v>
      </c>
      <c r="K112" s="655">
        <f t="shared" si="54"/>
        <v>732.75299999999697</v>
      </c>
      <c r="L112" s="655">
        <f t="shared" si="54"/>
        <v>810.2270000000135</v>
      </c>
      <c r="M112" s="655">
        <f t="shared" si="54"/>
        <v>891.48500000010245</v>
      </c>
      <c r="N112" s="655">
        <f t="shared" si="54"/>
        <v>976.7270000000135</v>
      </c>
      <c r="O112" s="650">
        <f t="shared" si="54"/>
        <v>6535.7560000000522</v>
      </c>
      <c r="P112" s="640"/>
      <c r="Q112" s="634"/>
    </row>
    <row r="113" spans="3:17" ht="28.5" x14ac:dyDescent="0.2">
      <c r="C113" s="666" t="s">
        <v>804</v>
      </c>
      <c r="D113" s="655">
        <f t="shared" ref="D113:O113" si="55">D47-D80</f>
        <v>0</v>
      </c>
      <c r="E113" s="655">
        <f t="shared" si="55"/>
        <v>420.32699999999022</v>
      </c>
      <c r="F113" s="655">
        <f t="shared" si="55"/>
        <v>478.78199999997742</v>
      </c>
      <c r="G113" s="655">
        <f t="shared" si="55"/>
        <v>457.01299999997718</v>
      </c>
      <c r="H113" s="655">
        <f t="shared" si="55"/>
        <v>521.1699999999837</v>
      </c>
      <c r="I113" s="655">
        <f t="shared" si="55"/>
        <v>588.40100000001257</v>
      </c>
      <c r="J113" s="655">
        <f t="shared" si="55"/>
        <v>658.87099999998463</v>
      </c>
      <c r="K113" s="655">
        <f t="shared" si="55"/>
        <v>732.75299999999697</v>
      </c>
      <c r="L113" s="655">
        <f t="shared" si="55"/>
        <v>810.2270000000135</v>
      </c>
      <c r="M113" s="655">
        <f t="shared" si="55"/>
        <v>891.48500000010245</v>
      </c>
      <c r="N113" s="655">
        <f t="shared" si="55"/>
        <v>976.7270000000135</v>
      </c>
      <c r="O113" s="650">
        <f t="shared" si="55"/>
        <v>6535.7560000000522</v>
      </c>
      <c r="P113" s="640"/>
      <c r="Q113" s="634"/>
    </row>
    <row r="114" spans="3:17" ht="14.25" x14ac:dyDescent="0.2">
      <c r="C114" s="669"/>
      <c r="D114" s="661"/>
      <c r="E114" s="654"/>
      <c r="F114" s="654"/>
      <c r="G114" s="654"/>
      <c r="H114" s="654"/>
      <c r="I114" s="654"/>
      <c r="J114" s="654"/>
      <c r="K114" s="654"/>
      <c r="L114" s="662"/>
      <c r="M114" s="654"/>
      <c r="N114" s="662"/>
      <c r="O114" s="662"/>
      <c r="P114" s="640"/>
      <c r="Q114" s="634"/>
    </row>
    <row r="115" spans="3:17" ht="14.25" x14ac:dyDescent="0.2">
      <c r="C115" s="666" t="s">
        <v>612</v>
      </c>
      <c r="D115" s="655"/>
      <c r="E115" s="655">
        <f t="shared" ref="E115:O115" si="56">E49-E82</f>
        <v>844.28800000000047</v>
      </c>
      <c r="F115" s="655">
        <f t="shared" si="56"/>
        <v>25.328999999997905</v>
      </c>
      <c r="G115" s="655">
        <f t="shared" si="56"/>
        <v>26.088000000003376</v>
      </c>
      <c r="H115" s="655">
        <f t="shared" si="56"/>
        <v>26.872999999992317</v>
      </c>
      <c r="I115" s="655">
        <f t="shared" si="56"/>
        <v>27.676000000006752</v>
      </c>
      <c r="J115" s="655">
        <f t="shared" si="56"/>
        <v>28.506999999997788</v>
      </c>
      <c r="K115" s="655">
        <f t="shared" si="56"/>
        <v>29.362999999997555</v>
      </c>
      <c r="L115" s="655">
        <f t="shared" si="56"/>
        <v>30.244000000006054</v>
      </c>
      <c r="M115" s="655">
        <f t="shared" si="56"/>
        <v>31.150999999998021</v>
      </c>
      <c r="N115" s="655">
        <f t="shared" si="56"/>
        <v>32.085000000006403</v>
      </c>
      <c r="O115" s="650">
        <f t="shared" si="56"/>
        <v>1101.6040000000066</v>
      </c>
      <c r="P115" s="640"/>
      <c r="Q115" s="634"/>
    </row>
    <row r="116" spans="3:17" ht="28.5" x14ac:dyDescent="0.2">
      <c r="C116" s="666" t="s">
        <v>827</v>
      </c>
      <c r="D116" s="655"/>
      <c r="E116" s="657">
        <f>E50-E83</f>
        <v>1.1755399820739587E-2</v>
      </c>
      <c r="F116" s="657">
        <f t="shared" ref="F116:O116" si="57">F50-F83</f>
        <v>-2.3406917978219255E-4</v>
      </c>
      <c r="G116" s="657">
        <f t="shared" si="57"/>
        <v>-7.1173086690246024E-5</v>
      </c>
      <c r="H116" s="657">
        <f t="shared" si="57"/>
        <v>-9.5352243569157835E-5</v>
      </c>
      <c r="I116" s="657">
        <f t="shared" si="57"/>
        <v>-6.8056550311057507E-5</v>
      </c>
      <c r="J116" s="657">
        <f t="shared" si="57"/>
        <v>-6.6603790276120733E-5</v>
      </c>
      <c r="K116" s="657">
        <f t="shared" si="57"/>
        <v>-6.5221931532022381E-5</v>
      </c>
      <c r="L116" s="657">
        <f t="shared" si="57"/>
        <v>-6.3915188837304626E-5</v>
      </c>
      <c r="M116" s="657">
        <f t="shared" si="57"/>
        <v>-6.2676844754916416E-5</v>
      </c>
      <c r="N116" s="657">
        <f t="shared" si="57"/>
        <v>-5.5819062705353417E-9</v>
      </c>
      <c r="O116" s="663">
        <f t="shared" si="57"/>
        <v>1.0726585599997585</v>
      </c>
      <c r="P116" s="590"/>
      <c r="Q116" s="592"/>
    </row>
    <row r="118" spans="3:17" ht="12.75" thickBot="1" x14ac:dyDescent="0.25"/>
    <row r="119" spans="3:17" ht="15.75" thickBot="1" x14ac:dyDescent="0.3">
      <c r="C119" s="595" t="s">
        <v>617</v>
      </c>
      <c r="D119" s="596" t="str">
        <f>D88</f>
        <v>2014/15</v>
      </c>
      <c r="E119" s="596" t="str">
        <f t="shared" ref="E119:N119" si="58">E88</f>
        <v>2015/16</v>
      </c>
      <c r="F119" s="596" t="str">
        <f t="shared" si="58"/>
        <v>2016/17</v>
      </c>
      <c r="G119" s="596" t="str">
        <f t="shared" si="58"/>
        <v>2017/18</v>
      </c>
      <c r="H119" s="596" t="str">
        <f t="shared" si="58"/>
        <v>2018/19</v>
      </c>
      <c r="I119" s="596" t="str">
        <f t="shared" si="58"/>
        <v>2019/20</v>
      </c>
      <c r="J119" s="596" t="str">
        <f t="shared" si="58"/>
        <v>2020/21</v>
      </c>
      <c r="K119" s="596" t="str">
        <f t="shared" si="58"/>
        <v>2021/22</v>
      </c>
      <c r="L119" s="596" t="str">
        <f t="shared" si="58"/>
        <v>2022/23</v>
      </c>
      <c r="M119" s="596" t="str">
        <f t="shared" si="58"/>
        <v>2023/24</v>
      </c>
      <c r="N119" s="596" t="str">
        <f t="shared" si="58"/>
        <v>2024/25</v>
      </c>
      <c r="O119" s="710"/>
    </row>
    <row r="120" spans="3:17" ht="15" x14ac:dyDescent="0.25">
      <c r="C120" s="486" t="s">
        <v>639</v>
      </c>
      <c r="D120" s="593"/>
      <c r="E120" s="593"/>
      <c r="F120" s="593"/>
      <c r="G120" s="593"/>
      <c r="H120" s="593"/>
      <c r="I120" s="593"/>
      <c r="J120" s="593"/>
      <c r="K120" s="593"/>
      <c r="L120" s="593"/>
      <c r="M120" s="593"/>
      <c r="N120" s="708"/>
      <c r="O120" s="711"/>
    </row>
    <row r="121" spans="3:17" ht="15" x14ac:dyDescent="0.25">
      <c r="C121" s="664" t="s">
        <v>698</v>
      </c>
      <c r="D121" s="644"/>
      <c r="E121" s="637"/>
      <c r="F121" s="637"/>
      <c r="G121" s="637"/>
      <c r="H121" s="637"/>
      <c r="I121" s="637"/>
      <c r="J121" s="637"/>
      <c r="K121" s="637"/>
      <c r="L121" s="637"/>
      <c r="M121" s="637"/>
      <c r="N121" s="637"/>
      <c r="O121" s="711"/>
    </row>
    <row r="122" spans="3:17" ht="15" x14ac:dyDescent="0.25">
      <c r="C122" s="665" t="s">
        <v>806</v>
      </c>
      <c r="D122" s="645"/>
      <c r="E122" s="705">
        <f>IF(E39=0,"",(E39/D39)-1)</f>
        <v>3.152920541489368E-2</v>
      </c>
      <c r="F122" s="706">
        <f t="shared" ref="F122:N122" si="59">IF(F39=0,"",(F39/E39)-1)</f>
        <v>3.5637645714198474E-2</v>
      </c>
      <c r="G122" s="706">
        <f t="shared" si="59"/>
        <v>3.4001033140272918E-2</v>
      </c>
      <c r="H122" s="706">
        <f t="shared" si="59"/>
        <v>3.3786128213998623E-2</v>
      </c>
      <c r="I122" s="706">
        <f t="shared" si="59"/>
        <v>3.3363301744416818E-2</v>
      </c>
      <c r="J122" s="706">
        <f t="shared" si="59"/>
        <v>3.2658849188768269E-2</v>
      </c>
      <c r="K122" s="706">
        <f t="shared" si="59"/>
        <v>3.124223135441051E-2</v>
      </c>
      <c r="L122" s="706">
        <f t="shared" si="59"/>
        <v>3.2207439163539409E-2</v>
      </c>
      <c r="M122" s="706">
        <f t="shared" si="59"/>
        <v>2.683754210537681E-2</v>
      </c>
      <c r="N122" s="709">
        <f t="shared" si="59"/>
        <v>3.0000000000000027E-2</v>
      </c>
      <c r="O122" s="711"/>
    </row>
    <row r="123" spans="3:17" ht="15" x14ac:dyDescent="0.25">
      <c r="C123" s="665" t="s">
        <v>807</v>
      </c>
      <c r="D123" s="645"/>
      <c r="E123" s="705">
        <f>IF(E72=0,"",(E72/D72)-1)</f>
        <v>3.152920541489368E-2</v>
      </c>
      <c r="F123" s="706">
        <f t="shared" ref="F123:N123" si="60">IF(F72=0,"",(F72/E72)-1)</f>
        <v>3.5637645714198474E-2</v>
      </c>
      <c r="G123" s="706">
        <f t="shared" si="60"/>
        <v>3.4001033140272918E-2</v>
      </c>
      <c r="H123" s="706">
        <f t="shared" si="60"/>
        <v>3.3786128213998623E-2</v>
      </c>
      <c r="I123" s="706">
        <f t="shared" si="60"/>
        <v>3.3363301744416818E-2</v>
      </c>
      <c r="J123" s="706">
        <f t="shared" si="60"/>
        <v>3.2658849188768269E-2</v>
      </c>
      <c r="K123" s="706">
        <f t="shared" si="60"/>
        <v>3.124223135441051E-2</v>
      </c>
      <c r="L123" s="706">
        <f t="shared" si="60"/>
        <v>3.2207439163539409E-2</v>
      </c>
      <c r="M123" s="706">
        <f t="shared" si="60"/>
        <v>2.683754210537681E-2</v>
      </c>
      <c r="N123" s="709">
        <f t="shared" si="60"/>
        <v>3.0000000000000027E-2</v>
      </c>
      <c r="O123" s="711"/>
    </row>
    <row r="124" spans="3:17" ht="15" x14ac:dyDescent="0.25">
      <c r="C124" s="664" t="s">
        <v>616</v>
      </c>
      <c r="D124" s="647"/>
      <c r="E124" s="707"/>
      <c r="F124" s="707"/>
      <c r="G124" s="707"/>
      <c r="H124" s="707"/>
      <c r="I124" s="707"/>
      <c r="J124" s="707"/>
      <c r="K124" s="707"/>
      <c r="L124" s="707"/>
      <c r="M124" s="707"/>
      <c r="N124" s="707"/>
      <c r="O124" s="711"/>
    </row>
    <row r="125" spans="3:17" ht="15" x14ac:dyDescent="0.25">
      <c r="C125" s="665" t="s">
        <v>806</v>
      </c>
      <c r="D125" s="647"/>
      <c r="E125" s="23">
        <v>0</v>
      </c>
      <c r="F125" s="23">
        <v>0</v>
      </c>
      <c r="G125" s="23">
        <v>0</v>
      </c>
      <c r="H125" s="23">
        <v>0</v>
      </c>
      <c r="I125" s="23">
        <v>0</v>
      </c>
      <c r="J125" s="23">
        <v>0</v>
      </c>
      <c r="K125" s="23">
        <v>0</v>
      </c>
      <c r="L125" s="23">
        <v>0</v>
      </c>
      <c r="M125" s="23">
        <v>0</v>
      </c>
      <c r="N125" s="23">
        <v>0</v>
      </c>
      <c r="O125" s="711"/>
    </row>
    <row r="126" spans="3:17" ht="15" x14ac:dyDescent="0.25">
      <c r="C126" s="665" t="s">
        <v>807</v>
      </c>
      <c r="D126" s="647"/>
      <c r="E126" s="23">
        <v>0</v>
      </c>
      <c r="F126" s="23">
        <v>0</v>
      </c>
      <c r="G126" s="23">
        <v>0</v>
      </c>
      <c r="H126" s="23">
        <v>0</v>
      </c>
      <c r="I126" s="23">
        <v>0</v>
      </c>
      <c r="J126" s="23">
        <v>0</v>
      </c>
      <c r="K126" s="23">
        <v>0</v>
      </c>
      <c r="L126" s="23">
        <v>0</v>
      </c>
      <c r="M126" s="23">
        <v>0</v>
      </c>
      <c r="N126" s="23">
        <v>0</v>
      </c>
      <c r="O126" s="711"/>
    </row>
    <row r="127" spans="3:17" ht="15" x14ac:dyDescent="0.25">
      <c r="C127" s="664" t="s">
        <v>802</v>
      </c>
      <c r="D127" s="647"/>
      <c r="E127" s="707"/>
      <c r="F127" s="707"/>
      <c r="G127" s="707"/>
      <c r="H127" s="707"/>
      <c r="I127" s="707"/>
      <c r="J127" s="707"/>
      <c r="K127" s="707"/>
      <c r="L127" s="707"/>
      <c r="M127" s="707"/>
      <c r="N127" s="707"/>
      <c r="O127" s="711"/>
    </row>
    <row r="128" spans="3:17" ht="15" x14ac:dyDescent="0.25">
      <c r="C128" s="665" t="s">
        <v>806</v>
      </c>
      <c r="D128" s="647"/>
      <c r="E128" s="23">
        <f>280/55000</f>
        <v>5.0909090909090913E-3</v>
      </c>
      <c r="F128" s="23">
        <f t="shared" ref="F128:N129" si="61">280/55000</f>
        <v>5.0909090909090913E-3</v>
      </c>
      <c r="G128" s="23">
        <f t="shared" si="61"/>
        <v>5.0909090909090913E-3</v>
      </c>
      <c r="H128" s="23">
        <f t="shared" si="61"/>
        <v>5.0909090909090913E-3</v>
      </c>
      <c r="I128" s="23">
        <f t="shared" si="61"/>
        <v>5.0909090909090913E-3</v>
      </c>
      <c r="J128" s="23">
        <f t="shared" si="61"/>
        <v>5.0909090909090913E-3</v>
      </c>
      <c r="K128" s="23">
        <f t="shared" si="61"/>
        <v>5.0909090909090913E-3</v>
      </c>
      <c r="L128" s="23">
        <f t="shared" si="61"/>
        <v>5.0909090909090913E-3</v>
      </c>
      <c r="M128" s="23">
        <f t="shared" si="61"/>
        <v>5.0909090909090913E-3</v>
      </c>
      <c r="N128" s="23">
        <f t="shared" si="61"/>
        <v>5.0909090909090913E-3</v>
      </c>
      <c r="O128" s="711"/>
    </row>
    <row r="129" spans="3:15" ht="15" x14ac:dyDescent="0.25">
      <c r="C129" s="665" t="s">
        <v>807</v>
      </c>
      <c r="D129" s="647"/>
      <c r="E129" s="23">
        <f>280/55000</f>
        <v>5.0909090909090913E-3</v>
      </c>
      <c r="F129" s="23">
        <f t="shared" si="61"/>
        <v>5.0909090909090913E-3</v>
      </c>
      <c r="G129" s="23">
        <f t="shared" si="61"/>
        <v>5.0909090909090913E-3</v>
      </c>
      <c r="H129" s="23">
        <f t="shared" si="61"/>
        <v>5.0909090909090913E-3</v>
      </c>
      <c r="I129" s="23">
        <f t="shared" si="61"/>
        <v>5.0909090909090913E-3</v>
      </c>
      <c r="J129" s="23">
        <f t="shared" si="61"/>
        <v>5.0909090909090913E-3</v>
      </c>
      <c r="K129" s="23">
        <f t="shared" si="61"/>
        <v>5.0909090909090913E-3</v>
      </c>
      <c r="L129" s="23">
        <f t="shared" si="61"/>
        <v>5.0909090909090913E-3</v>
      </c>
      <c r="M129" s="23">
        <f t="shared" si="61"/>
        <v>5.0909090909090913E-3</v>
      </c>
      <c r="N129" s="23">
        <f t="shared" si="61"/>
        <v>5.0909090909090913E-3</v>
      </c>
      <c r="O129" s="711"/>
    </row>
    <row r="130" spans="3:15" ht="30" x14ac:dyDescent="0.25">
      <c r="C130" s="664" t="s">
        <v>828</v>
      </c>
      <c r="D130" s="647"/>
      <c r="E130" s="707"/>
      <c r="F130" s="707"/>
      <c r="G130" s="707"/>
      <c r="H130" s="707"/>
      <c r="I130" s="707"/>
      <c r="J130" s="707"/>
      <c r="K130" s="707"/>
      <c r="L130" s="707"/>
      <c r="M130" s="707"/>
      <c r="N130" s="707"/>
      <c r="O130" s="711"/>
    </row>
    <row r="131" spans="3:15" ht="15" x14ac:dyDescent="0.25">
      <c r="C131" s="665" t="s">
        <v>806</v>
      </c>
      <c r="D131" s="647"/>
      <c r="E131" s="23">
        <f>+E132</f>
        <v>3.867596614910318E-2</v>
      </c>
      <c r="F131" s="23">
        <f t="shared" ref="F131:N131" si="62">+F132</f>
        <v>4.3249393605567787E-2</v>
      </c>
      <c r="G131" s="23">
        <f t="shared" si="62"/>
        <v>4.1306567132127991E-2</v>
      </c>
      <c r="H131" s="23">
        <f t="shared" si="62"/>
        <v>3.4519671237650762E-2</v>
      </c>
      <c r="I131" s="23">
        <f t="shared" si="62"/>
        <v>3.819814887113937E-2</v>
      </c>
      <c r="J131" s="23">
        <f t="shared" si="62"/>
        <v>3.694207056352572E-2</v>
      </c>
      <c r="K131" s="23">
        <f t="shared" si="62"/>
        <v>3.5918872006435176E-2</v>
      </c>
      <c r="L131" s="23">
        <f t="shared" si="62"/>
        <v>3.7060262356828799E-2</v>
      </c>
      <c r="M131" s="23">
        <f t="shared" si="62"/>
        <v>2.6348222827487389E-2</v>
      </c>
      <c r="N131" s="23">
        <f t="shared" si="62"/>
        <v>3.0000000000000027E-2</v>
      </c>
      <c r="O131" s="711"/>
    </row>
    <row r="132" spans="3:15" ht="15" x14ac:dyDescent="0.25">
      <c r="C132" s="665" t="s">
        <v>807</v>
      </c>
      <c r="D132" s="647"/>
      <c r="E132" s="715">
        <f>IF(E74=0,"",(E74/D74)-1)</f>
        <v>3.867596614910318E-2</v>
      </c>
      <c r="F132" s="715">
        <f t="shared" ref="F132:N132" si="63">IF(F74=0,"",(F74/E74)-1)</f>
        <v>4.3249393605567787E-2</v>
      </c>
      <c r="G132" s="715">
        <f t="shared" si="63"/>
        <v>4.1306567132127991E-2</v>
      </c>
      <c r="H132" s="715">
        <f t="shared" si="63"/>
        <v>3.4519671237650762E-2</v>
      </c>
      <c r="I132" s="715">
        <f t="shared" si="63"/>
        <v>3.819814887113937E-2</v>
      </c>
      <c r="J132" s="715">
        <f t="shared" si="63"/>
        <v>3.694207056352572E-2</v>
      </c>
      <c r="K132" s="715">
        <f t="shared" si="63"/>
        <v>3.5918872006435176E-2</v>
      </c>
      <c r="L132" s="715">
        <f t="shared" si="63"/>
        <v>3.7060262356828799E-2</v>
      </c>
      <c r="M132" s="715">
        <f t="shared" si="63"/>
        <v>2.6348222827487389E-2</v>
      </c>
      <c r="N132" s="715">
        <f t="shared" si="63"/>
        <v>3.0000000000000027E-2</v>
      </c>
      <c r="O132" s="711"/>
    </row>
    <row r="133" spans="3:15" ht="15" x14ac:dyDescent="0.25">
      <c r="C133" s="664" t="s">
        <v>699</v>
      </c>
      <c r="D133" s="647"/>
      <c r="E133" s="707"/>
      <c r="F133" s="707"/>
      <c r="G133" s="707"/>
      <c r="H133" s="707"/>
      <c r="I133" s="707"/>
      <c r="J133" s="707"/>
      <c r="K133" s="707"/>
      <c r="L133" s="707"/>
      <c r="M133" s="707"/>
      <c r="N133" s="707"/>
      <c r="O133" s="711"/>
    </row>
    <row r="134" spans="3:15" ht="15" x14ac:dyDescent="0.25">
      <c r="C134" s="665" t="s">
        <v>806</v>
      </c>
      <c r="D134" s="647"/>
      <c r="E134" s="23">
        <f>+E135</f>
        <v>4922.009</v>
      </c>
      <c r="F134" s="23">
        <f t="shared" ref="F134:N134" si="64">+F135</f>
        <v>5729.3370000000004</v>
      </c>
      <c r="G134" s="23">
        <f t="shared" si="64"/>
        <v>5736.2169999999996</v>
      </c>
      <c r="H134" s="23">
        <f t="shared" si="64"/>
        <v>5743.3029999999999</v>
      </c>
      <c r="I134" s="23">
        <f t="shared" si="64"/>
        <v>5750.6019999999999</v>
      </c>
      <c r="J134" s="23">
        <f t="shared" si="64"/>
        <v>5758.12</v>
      </c>
      <c r="K134" s="23">
        <f t="shared" si="64"/>
        <v>5765.8630000000003</v>
      </c>
      <c r="L134" s="23">
        <f t="shared" si="64"/>
        <v>5773.8389999999999</v>
      </c>
      <c r="M134" s="23">
        <f t="shared" si="64"/>
        <v>5776.5770000000002</v>
      </c>
      <c r="N134" s="23">
        <f t="shared" si="64"/>
        <v>5784.8739999999998</v>
      </c>
      <c r="O134" s="711"/>
    </row>
    <row r="135" spans="3:15" ht="15" x14ac:dyDescent="0.25">
      <c r="C135" s="665" t="s">
        <v>807</v>
      </c>
      <c r="D135" s="646"/>
      <c r="E135" s="23">
        <f>(1000000+3500000+200000+222009)/1000</f>
        <v>4922.009</v>
      </c>
      <c r="F135" s="23">
        <f>(1000000+4500000+229337)/1000</f>
        <v>5729.3370000000004</v>
      </c>
      <c r="G135" s="23">
        <f>(1000000+4500000+236217)/1000</f>
        <v>5736.2169999999996</v>
      </c>
      <c r="H135" s="23">
        <f>(1000000+4500000+243303)/1000</f>
        <v>5743.3029999999999</v>
      </c>
      <c r="I135" s="23">
        <f>(1000000+4500000+250602)/1000</f>
        <v>5750.6019999999999</v>
      </c>
      <c r="J135" s="23">
        <f>(1000000+4500000+258120)/1000</f>
        <v>5758.12</v>
      </c>
      <c r="K135" s="23">
        <f>(1000000+4500000+265863)/1000</f>
        <v>5765.8630000000003</v>
      </c>
      <c r="L135" s="23">
        <f>(1000000+4500000+273839)/1000</f>
        <v>5773.8389999999999</v>
      </c>
      <c r="M135" s="23">
        <f>(1000000+4500000+276577)/1000</f>
        <v>5776.5770000000002</v>
      </c>
      <c r="N135" s="23">
        <f>(1000000+4500000+284874)/1000</f>
        <v>5784.8739999999998</v>
      </c>
      <c r="O135" s="712"/>
    </row>
  </sheetData>
  <sheetProtection password="C5F4" sheet="1"/>
  <mergeCells count="23">
    <mergeCell ref="C103:O103"/>
    <mergeCell ref="E53:O53"/>
    <mergeCell ref="O54:O55"/>
    <mergeCell ref="C56:O56"/>
    <mergeCell ref="C70:O70"/>
    <mergeCell ref="E85:O85"/>
    <mergeCell ref="C89:O89"/>
    <mergeCell ref="C37:O37"/>
    <mergeCell ref="E52:O52"/>
    <mergeCell ref="O87:O88"/>
    <mergeCell ref="P19:P22"/>
    <mergeCell ref="Q19:Q22"/>
    <mergeCell ref="P52:P55"/>
    <mergeCell ref="Q52:Q55"/>
    <mergeCell ref="E86:O86"/>
    <mergeCell ref="O21:O22"/>
    <mergeCell ref="C23:O23"/>
    <mergeCell ref="E20:O20"/>
    <mergeCell ref="C2:G2"/>
    <mergeCell ref="B4:O4"/>
    <mergeCell ref="B6:O6"/>
    <mergeCell ref="C7:O16"/>
    <mergeCell ref="E19:O19"/>
  </mergeCells>
  <dataValidations disablePrompts="1" count="5">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24"/>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81 C114 C48"/>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16"/>
    <dataValidation allowBlank="1" showInputMessage="1" showErrorMessage="1" promptTitle="Sum of total spending" prompt="All individual spending allocations should be summed for each of the 10 years to calculate the council's total proposed spending for each year._x000a_" sqref="C115"/>
    <dataValidation allowBlank="1" showInputMessage="1" showErrorMessage="1" prompt="_x000a_" sqref="C49 C82"/>
  </dataValidations>
  <pageMargins left="0.7" right="0.7" top="0.75" bottom="0.75" header="0.3" footer="0.3"/>
  <pageSetup paperSize="9" scale="48" fitToHeight="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2"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T253"/>
  <sheetViews>
    <sheetView topLeftCell="B139" zoomScaleNormal="100" workbookViewId="0">
      <selection activeCell="E144" sqref="E144"/>
    </sheetView>
  </sheetViews>
  <sheetFormatPr defaultRowHeight="12" x14ac:dyDescent="0.2"/>
  <cols>
    <col min="1" max="1" width="22.85546875" customWidth="1"/>
    <col min="2" max="2" width="10.28515625" customWidth="1"/>
    <col min="9" max="9" width="14.5703125" bestFit="1" customWidth="1"/>
    <col min="10" max="11" width="13.5703125" bestFit="1" customWidth="1"/>
    <col min="12" max="12" width="9.7109375" customWidth="1"/>
    <col min="13" max="13" width="10.28515625" customWidth="1"/>
    <col min="14" max="14" width="9.85546875" customWidth="1"/>
    <col min="15" max="15" width="14" customWidth="1"/>
    <col min="16" max="16" width="9.7109375" customWidth="1"/>
    <col min="17" max="17" width="9.5703125" customWidth="1"/>
    <col min="18" max="18" width="9.7109375" customWidth="1"/>
    <col min="19" max="19" width="9.85546875" customWidth="1"/>
  </cols>
  <sheetData>
    <row r="2" spans="2:16" ht="19.5" x14ac:dyDescent="0.2">
      <c r="D2" s="566"/>
      <c r="E2" s="566"/>
      <c r="F2" s="566"/>
      <c r="G2" s="567" t="s">
        <v>676</v>
      </c>
      <c r="H2" s="526"/>
      <c r="I2" s="526"/>
      <c r="J2" s="526"/>
      <c r="K2" s="526"/>
      <c r="L2" s="526"/>
      <c r="M2" s="526"/>
      <c r="N2" s="526"/>
    </row>
    <row r="3" spans="2:16" ht="19.5" x14ac:dyDescent="0.2">
      <c r="G3" s="568" t="s">
        <v>677</v>
      </c>
    </row>
    <row r="4" spans="2:16" ht="19.5" x14ac:dyDescent="0.2">
      <c r="G4" s="568" t="s">
        <v>680</v>
      </c>
    </row>
    <row r="5" spans="2:16" ht="19.5" x14ac:dyDescent="0.2">
      <c r="G5" s="568" t="s">
        <v>788</v>
      </c>
    </row>
    <row r="8" spans="2:16" ht="15.75" x14ac:dyDescent="0.25">
      <c r="B8" s="569" t="s">
        <v>678</v>
      </c>
      <c r="I8" s="566"/>
      <c r="J8" s="526"/>
      <c r="K8" s="526"/>
      <c r="L8" s="526"/>
      <c r="M8" s="526"/>
      <c r="N8" s="526"/>
      <c r="O8" s="526"/>
      <c r="P8" s="526"/>
    </row>
    <row r="9" spans="2:16" x14ac:dyDescent="0.2">
      <c r="B9" s="165"/>
      <c r="I9" s="570"/>
      <c r="J9" s="570"/>
      <c r="K9" s="570"/>
      <c r="L9" s="570"/>
      <c r="M9" s="570"/>
      <c r="N9" s="570"/>
      <c r="O9" s="570"/>
      <c r="P9" s="570"/>
    </row>
    <row r="12" spans="2:16" ht="19.5" x14ac:dyDescent="0.2">
      <c r="B12" s="476" t="s">
        <v>532</v>
      </c>
    </row>
    <row r="14" spans="2:16" x14ac:dyDescent="0.2">
      <c r="B14" s="744" t="s">
        <v>721</v>
      </c>
      <c r="C14" s="743"/>
      <c r="D14" s="743"/>
      <c r="E14" s="743"/>
      <c r="F14" s="743"/>
      <c r="G14" s="743"/>
      <c r="H14" s="743"/>
    </row>
    <row r="15" spans="2:16" x14ac:dyDescent="0.2">
      <c r="B15" s="743"/>
      <c r="C15" s="743"/>
      <c r="D15" s="743"/>
      <c r="E15" s="743"/>
      <c r="F15" s="743"/>
      <c r="G15" s="743"/>
      <c r="H15" s="743"/>
    </row>
    <row r="16" spans="2:16" x14ac:dyDescent="0.2">
      <c r="B16" s="743"/>
      <c r="C16" s="743"/>
      <c r="D16" s="743"/>
      <c r="E16" s="743"/>
      <c r="F16" s="743"/>
      <c r="G16" s="743"/>
      <c r="H16" s="743"/>
    </row>
    <row r="17" spans="2:15" ht="15" x14ac:dyDescent="0.25">
      <c r="C17" s="480" t="s">
        <v>647</v>
      </c>
      <c r="I17" s="608" t="s">
        <v>24</v>
      </c>
      <c r="J17" s="608" t="s">
        <v>26</v>
      </c>
      <c r="K17" s="608" t="s">
        <v>29</v>
      </c>
      <c r="L17" s="608" t="s">
        <v>31</v>
      </c>
      <c r="M17" s="608" t="s">
        <v>33</v>
      </c>
      <c r="N17" s="608" t="s">
        <v>35</v>
      </c>
      <c r="O17" s="608" t="s">
        <v>37</v>
      </c>
    </row>
    <row r="18" spans="2:15" x14ac:dyDescent="0.2">
      <c r="E18" s="165" t="s">
        <v>533</v>
      </c>
      <c r="I18" s="475">
        <f>'WK1 - Identification'!D45</f>
        <v>3.8885007609247395E-2</v>
      </c>
      <c r="J18" s="475">
        <f>IF('WK1 - Identification'!D46="","",'WK1 - Identification'!D46)</f>
        <v>0.03</v>
      </c>
      <c r="K18" s="475">
        <f>IF('WK1 - Identification'!D47="","",'WK1 - Identification'!D47)</f>
        <v>0.03</v>
      </c>
      <c r="L18" s="475">
        <f>IF('WK1 - Identification'!D48=0,"",'WK1 - Identification'!D48)</f>
        <v>0.03</v>
      </c>
      <c r="M18" s="475">
        <f>IF('WK1 - Identification'!D49=0,"",'WK1 - Identification'!D49)</f>
        <v>0.03</v>
      </c>
      <c r="N18" s="475">
        <f>IF('WK1 - Identification'!D50=0,"",'WK1 - Identification'!D50)</f>
        <v>0.03</v>
      </c>
      <c r="O18" s="475">
        <f>IF('WK1 - Identification'!D51=0,"",'WK1 - Identification'!D51)</f>
        <v>0.03</v>
      </c>
    </row>
    <row r="19" spans="2:15" x14ac:dyDescent="0.2">
      <c r="E19" s="165"/>
      <c r="I19" s="526"/>
      <c r="J19" s="526"/>
      <c r="K19" s="526"/>
      <c r="L19" s="526"/>
      <c r="M19" s="526"/>
      <c r="N19" s="526"/>
      <c r="O19" s="526"/>
    </row>
    <row r="20" spans="2:15" x14ac:dyDescent="0.2">
      <c r="E20" s="165" t="s">
        <v>534</v>
      </c>
      <c r="I20" s="475">
        <f>'WK1 - Identification'!F45</f>
        <v>3.8885007609247395E-2</v>
      </c>
      <c r="J20" s="475">
        <f>'WK1 - Identification'!F46</f>
        <v>7.0051557837524814E-2</v>
      </c>
      <c r="K20" s="475">
        <f>'WK1 - Identification'!F47</f>
        <v>0.10215310457265056</v>
      </c>
      <c r="L20" s="475">
        <f>'WK1 - Identification'!F48</f>
        <v>0.13521769770983008</v>
      </c>
      <c r="M20" s="475">
        <f>'WK1 - Identification'!F49</f>
        <v>0.16927422864112499</v>
      </c>
      <c r="N20" s="475">
        <f>'WK1 - Identification'!F50</f>
        <v>0.20435245550035874</v>
      </c>
      <c r="O20" s="475">
        <f>'WK1 - Identification'!F51</f>
        <v>0.24048302916536951</v>
      </c>
    </row>
    <row r="23" spans="2:15" ht="15.75" x14ac:dyDescent="0.2">
      <c r="B23" s="473" t="s">
        <v>535</v>
      </c>
    </row>
    <row r="25" spans="2:15" ht="12" customHeight="1" x14ac:dyDescent="0.3">
      <c r="B25" s="614" t="s">
        <v>808</v>
      </c>
      <c r="C25" s="441"/>
      <c r="D25" s="441"/>
      <c r="E25" s="441"/>
      <c r="F25" s="441"/>
      <c r="G25" s="441"/>
      <c r="H25" s="441"/>
    </row>
    <row r="26" spans="2:15" ht="16.5" x14ac:dyDescent="0.3">
      <c r="B26" s="614" t="s">
        <v>809</v>
      </c>
      <c r="C26" s="441"/>
      <c r="D26" s="441"/>
      <c r="E26" s="441"/>
      <c r="F26" s="441"/>
      <c r="G26" s="441"/>
      <c r="H26" s="441"/>
    </row>
    <row r="27" spans="2:15" ht="16.5" x14ac:dyDescent="0.3">
      <c r="B27" s="614" t="s">
        <v>810</v>
      </c>
      <c r="C27" s="441"/>
      <c r="D27" s="441"/>
      <c r="E27" s="441"/>
      <c r="F27" s="441"/>
      <c r="G27" s="441"/>
      <c r="H27" s="441"/>
    </row>
    <row r="28" spans="2:15" ht="16.5" x14ac:dyDescent="0.3">
      <c r="B28" s="614" t="s">
        <v>811</v>
      </c>
      <c r="C28" s="441"/>
      <c r="D28" s="441"/>
      <c r="E28" s="441"/>
      <c r="F28" s="441"/>
      <c r="G28" s="441"/>
      <c r="H28" s="441"/>
    </row>
    <row r="29" spans="2:15" ht="15" x14ac:dyDescent="0.25">
      <c r="C29" s="480" t="s">
        <v>647</v>
      </c>
      <c r="I29" s="608" t="str">
        <f>I17</f>
        <v>2015/16</v>
      </c>
      <c r="J29" s="608" t="str">
        <f t="shared" ref="J29:O29" si="0">J17</f>
        <v>2016/17</v>
      </c>
      <c r="K29" s="608" t="str">
        <f t="shared" si="0"/>
        <v>2017/18</v>
      </c>
      <c r="L29" s="608" t="str">
        <f t="shared" si="0"/>
        <v>2018/19</v>
      </c>
      <c r="M29" s="608" t="str">
        <f t="shared" si="0"/>
        <v>2019/20</v>
      </c>
      <c r="N29" s="608" t="str">
        <f t="shared" si="0"/>
        <v>2020/21</v>
      </c>
      <c r="O29" s="608" t="str">
        <f t="shared" si="0"/>
        <v>2021/22</v>
      </c>
    </row>
    <row r="30" spans="2:15" x14ac:dyDescent="0.2">
      <c r="E30" s="165" t="s">
        <v>648</v>
      </c>
      <c r="I30" s="475">
        <f>+'WK1 - Identification'!E45</f>
        <v>2.4E-2</v>
      </c>
      <c r="J30" s="475">
        <f>'WK1 - Identification'!E46</f>
        <v>0.03</v>
      </c>
      <c r="K30" s="475">
        <f>'WK1 - Identification'!E47</f>
        <v>0.03</v>
      </c>
      <c r="L30" s="475">
        <f>'WK1 - Identification'!E48</f>
        <v>0.03</v>
      </c>
      <c r="M30" s="475">
        <f>'WK1 - Identification'!E49</f>
        <v>0.03</v>
      </c>
      <c r="N30" s="475">
        <f>'WK1 - Identification'!E50</f>
        <v>0.03</v>
      </c>
      <c r="O30" s="475">
        <f>'WK1 - Identification'!E51</f>
        <v>0.03</v>
      </c>
    </row>
    <row r="33" spans="2:15" ht="12" customHeight="1" x14ac:dyDescent="0.3">
      <c r="B33" s="614" t="s">
        <v>812</v>
      </c>
      <c r="C33" s="615"/>
      <c r="D33" s="615"/>
      <c r="E33" s="615"/>
      <c r="F33" s="615"/>
      <c r="G33" s="615"/>
      <c r="H33" s="615"/>
    </row>
    <row r="34" spans="2:15" ht="16.5" x14ac:dyDescent="0.3">
      <c r="B34" s="614" t="s">
        <v>813</v>
      </c>
      <c r="C34" s="615"/>
      <c r="D34" s="615"/>
      <c r="E34" s="615"/>
      <c r="F34" s="615"/>
      <c r="G34" s="615"/>
      <c r="H34" s="615"/>
    </row>
    <row r="35" spans="2:15" ht="12.75" x14ac:dyDescent="0.2">
      <c r="I35" s="608" t="str">
        <f>I29</f>
        <v>2015/16</v>
      </c>
      <c r="J35" s="608" t="str">
        <f t="shared" ref="J35:O35" si="1">J29</f>
        <v>2016/17</v>
      </c>
      <c r="K35" s="608" t="str">
        <f t="shared" si="1"/>
        <v>2017/18</v>
      </c>
      <c r="L35" s="608" t="str">
        <f t="shared" si="1"/>
        <v>2018/19</v>
      </c>
      <c r="M35" s="608" t="str">
        <f t="shared" si="1"/>
        <v>2019/20</v>
      </c>
      <c r="N35" s="608" t="str">
        <f t="shared" si="1"/>
        <v>2020/21</v>
      </c>
      <c r="O35" s="608" t="str">
        <f t="shared" si="1"/>
        <v>2021/22</v>
      </c>
    </row>
    <row r="36" spans="2:15" x14ac:dyDescent="0.2">
      <c r="E36" s="165" t="s">
        <v>534</v>
      </c>
      <c r="I36" s="475">
        <f>'WK1 - Identification'!F45</f>
        <v>3.8885007609247395E-2</v>
      </c>
      <c r="J36" s="475">
        <f>'WK1 - Identification'!F46</f>
        <v>7.0051557837524814E-2</v>
      </c>
      <c r="K36" s="475">
        <f>'WK1 - Identification'!F47</f>
        <v>0.10215310457265056</v>
      </c>
      <c r="L36" s="475">
        <f>'WK1 - Identification'!F48</f>
        <v>0.13521769770983008</v>
      </c>
      <c r="M36" s="475">
        <f>'WK1 - Identification'!F49</f>
        <v>0.16927422864112499</v>
      </c>
      <c r="N36" s="475">
        <f>'WK1 - Identification'!F50</f>
        <v>0.20435245550035874</v>
      </c>
      <c r="O36" s="475">
        <f>'WK1 - Identification'!F51</f>
        <v>0.24048302916536951</v>
      </c>
    </row>
    <row r="37" spans="2:15" x14ac:dyDescent="0.2">
      <c r="E37" s="165"/>
      <c r="I37" s="526"/>
      <c r="J37" s="526"/>
      <c r="K37" s="526"/>
      <c r="L37" s="526"/>
      <c r="M37" s="526"/>
      <c r="N37" s="526"/>
      <c r="O37" s="526"/>
    </row>
    <row r="38" spans="2:15" x14ac:dyDescent="0.2">
      <c r="E38" s="165" t="s">
        <v>536</v>
      </c>
      <c r="I38" s="475">
        <f>'WK1 - Identification'!H45</f>
        <v>1.4885007609247394E-2</v>
      </c>
      <c r="J38" s="475">
        <f>'WK1 - Identification'!H46</f>
        <v>1.5331557837524809E-2</v>
      </c>
      <c r="K38" s="475">
        <f>'WK1 - Identification'!H47</f>
        <v>1.579150457265055E-2</v>
      </c>
      <c r="L38" s="475">
        <f>'WK1 - Identification'!H48</f>
        <v>1.6265249709830065E-2</v>
      </c>
      <c r="M38" s="475">
        <f>'WK1 - Identification'!H50</f>
        <v>1.725580341715871E-2</v>
      </c>
      <c r="N38" s="475">
        <f>'WK1 - Identification'!H50</f>
        <v>1.725580341715871E-2</v>
      </c>
      <c r="O38" s="475">
        <f>'WK1 - Identification'!H51</f>
        <v>1.7773477519673481E-2</v>
      </c>
    </row>
    <row r="40" spans="2:15" ht="12.75" thickBot="1" x14ac:dyDescent="0.25"/>
    <row r="41" spans="2:15" ht="12.75" thickBot="1" x14ac:dyDescent="0.25">
      <c r="B41" s="745" t="s">
        <v>722</v>
      </c>
      <c r="C41" s="743"/>
      <c r="D41" s="743"/>
      <c r="E41" s="743"/>
      <c r="F41" s="743"/>
      <c r="G41" s="743"/>
      <c r="H41" s="743"/>
      <c r="I41" s="527" t="str">
        <f>'WK1 - Identification'!L23</f>
        <v>Temporary</v>
      </c>
    </row>
    <row r="42" spans="2:15" ht="17.25" thickBot="1" x14ac:dyDescent="0.35">
      <c r="B42" s="479" t="s">
        <v>723</v>
      </c>
    </row>
    <row r="43" spans="2:15" ht="17.25" thickBot="1" x14ac:dyDescent="0.35">
      <c r="B43" s="479" t="s">
        <v>679</v>
      </c>
      <c r="I43" s="606">
        <f>'WK1 - Identification'!M23</f>
        <v>10</v>
      </c>
    </row>
    <row r="44" spans="2:15" ht="16.5" x14ac:dyDescent="0.3">
      <c r="B44" s="479"/>
    </row>
    <row r="45" spans="2:15" ht="16.5" x14ac:dyDescent="0.3">
      <c r="B45" s="480" t="s">
        <v>537</v>
      </c>
      <c r="C45" s="479" t="s">
        <v>790</v>
      </c>
    </row>
    <row r="47" spans="2:15" x14ac:dyDescent="0.2">
      <c r="B47" s="607" t="s">
        <v>791</v>
      </c>
      <c r="C47" s="474"/>
      <c r="D47" s="474"/>
      <c r="E47" s="474"/>
      <c r="F47" s="474"/>
      <c r="G47" s="474"/>
      <c r="H47" s="474"/>
      <c r="I47" s="607"/>
      <c r="J47" s="474"/>
      <c r="K47" s="474"/>
      <c r="L47" s="474"/>
      <c r="M47" s="474"/>
      <c r="N47" s="474"/>
    </row>
    <row r="48" spans="2:15" x14ac:dyDescent="0.2">
      <c r="B48" s="545"/>
      <c r="C48" s="183"/>
      <c r="D48" s="183"/>
      <c r="E48" s="183"/>
      <c r="F48" s="183"/>
      <c r="G48" s="183"/>
      <c r="H48" s="183"/>
      <c r="I48" s="545"/>
      <c r="J48" s="183"/>
      <c r="K48" s="183"/>
      <c r="L48" s="183"/>
      <c r="M48" s="183"/>
      <c r="N48" s="183"/>
    </row>
    <row r="49" spans="3:16" x14ac:dyDescent="0.2">
      <c r="I49" s="609" t="s">
        <v>22</v>
      </c>
    </row>
    <row r="50" spans="3:16" x14ac:dyDescent="0.2">
      <c r="C50" s="165" t="s">
        <v>649</v>
      </c>
      <c r="I50" s="483">
        <f>'WK1 - Identification'!F71</f>
        <v>56720696.569452003</v>
      </c>
    </row>
    <row r="52" spans="3:16" ht="15" x14ac:dyDescent="0.25">
      <c r="C52" s="528" t="s">
        <v>647</v>
      </c>
      <c r="I52" s="608" t="str">
        <f>I35</f>
        <v>2015/16</v>
      </c>
      <c r="J52" s="608" t="str">
        <f t="shared" ref="J52:O52" si="2">J35</f>
        <v>2016/17</v>
      </c>
      <c r="K52" s="608" t="str">
        <f t="shared" si="2"/>
        <v>2017/18</v>
      </c>
      <c r="L52" s="608" t="str">
        <f t="shared" si="2"/>
        <v>2018/19</v>
      </c>
      <c r="M52" s="608" t="str">
        <f t="shared" si="2"/>
        <v>2019/20</v>
      </c>
      <c r="N52" s="608" t="str">
        <f t="shared" si="2"/>
        <v>2020/21</v>
      </c>
      <c r="O52" s="608" t="str">
        <f t="shared" si="2"/>
        <v>2021/22</v>
      </c>
    </row>
    <row r="53" spans="3:16" ht="16.5" x14ac:dyDescent="0.3">
      <c r="D53" s="479" t="s">
        <v>538</v>
      </c>
      <c r="I53" s="475">
        <f>I18</f>
        <v>3.8885007609247395E-2</v>
      </c>
      <c r="J53" s="475">
        <f t="shared" ref="J53:O53" si="3">J18</f>
        <v>0.03</v>
      </c>
      <c r="K53" s="475">
        <f t="shared" si="3"/>
        <v>0.03</v>
      </c>
      <c r="L53" s="475">
        <f t="shared" si="3"/>
        <v>0.03</v>
      </c>
      <c r="M53" s="475">
        <f t="shared" si="3"/>
        <v>0.03</v>
      </c>
      <c r="N53" s="475">
        <f t="shared" si="3"/>
        <v>0.03</v>
      </c>
      <c r="O53" s="475">
        <f t="shared" si="3"/>
        <v>0.03</v>
      </c>
    </row>
    <row r="54" spans="3:16" x14ac:dyDescent="0.2">
      <c r="I54" s="526"/>
    </row>
    <row r="55" spans="3:16" ht="16.5" x14ac:dyDescent="0.3">
      <c r="D55" s="479" t="s">
        <v>539</v>
      </c>
      <c r="I55" s="475">
        <f>I20</f>
        <v>3.8885007609247395E-2</v>
      </c>
      <c r="J55" s="475">
        <f t="shared" ref="J55:O55" si="4">J20</f>
        <v>7.0051557837524814E-2</v>
      </c>
      <c r="K55" s="475">
        <f t="shared" si="4"/>
        <v>0.10215310457265056</v>
      </c>
      <c r="L55" s="475">
        <f t="shared" si="4"/>
        <v>0.13521769770983008</v>
      </c>
      <c r="M55" s="475">
        <f t="shared" si="4"/>
        <v>0.16927422864112499</v>
      </c>
      <c r="N55" s="475">
        <f t="shared" si="4"/>
        <v>0.20435245550035874</v>
      </c>
      <c r="O55" s="475">
        <f t="shared" si="4"/>
        <v>0.24048302916536951</v>
      </c>
    </row>
    <row r="57" spans="3:16" ht="16.5" x14ac:dyDescent="0.3">
      <c r="D57" s="529" t="s">
        <v>102</v>
      </c>
      <c r="E57" s="526"/>
      <c r="F57" s="526"/>
    </row>
    <row r="58" spans="3:16" ht="16.5" x14ac:dyDescent="0.3">
      <c r="D58" s="529" t="s">
        <v>540</v>
      </c>
      <c r="E58" s="526"/>
      <c r="F58" s="526"/>
      <c r="I58" s="608" t="str">
        <f>I52</f>
        <v>2015/16</v>
      </c>
      <c r="J58" s="608" t="str">
        <f t="shared" ref="J58:O58" si="5">J52</f>
        <v>2016/17</v>
      </c>
      <c r="K58" s="608" t="str">
        <f t="shared" si="5"/>
        <v>2017/18</v>
      </c>
      <c r="L58" s="608" t="str">
        <f t="shared" si="5"/>
        <v>2018/19</v>
      </c>
      <c r="M58" s="608" t="str">
        <f t="shared" si="5"/>
        <v>2019/20</v>
      </c>
      <c r="N58" s="608" t="str">
        <f t="shared" si="5"/>
        <v>2020/21</v>
      </c>
      <c r="O58" s="608" t="str">
        <f t="shared" si="5"/>
        <v>2021/22</v>
      </c>
    </row>
    <row r="59" spans="3:16" ht="16.5" x14ac:dyDescent="0.3">
      <c r="D59" s="529" t="s">
        <v>690</v>
      </c>
      <c r="E59" s="526"/>
      <c r="F59" s="526"/>
      <c r="I59" s="483">
        <f>'WK1 - Identification'!F57</f>
        <v>2306302.7177049443</v>
      </c>
      <c r="J59" s="483">
        <f>'WK1 - Identification'!F58</f>
        <v>1770809.9786147103</v>
      </c>
      <c r="K59" s="483">
        <f>'WK1 - Identification'!F59</f>
        <v>1823934.2779731527</v>
      </c>
      <c r="L59" s="483">
        <f>'WK1 - Identification'!F60</f>
        <v>1878652.306312345</v>
      </c>
      <c r="M59" s="483">
        <f>'WK1 - Identification'!F61</f>
        <v>1935011.8755017146</v>
      </c>
      <c r="N59" s="483">
        <f>'WK1 - Identification'!F62</f>
        <v>1993062.2317667678</v>
      </c>
      <c r="O59" s="483">
        <f>'WK1 - Identification'!F63</f>
        <v>2052854.0987197757</v>
      </c>
      <c r="P59" s="483"/>
    </row>
    <row r="60" spans="3:16" ht="16.5" x14ac:dyDescent="0.3">
      <c r="D60" s="529" t="s">
        <v>541</v>
      </c>
      <c r="E60" s="526"/>
      <c r="F60" s="526"/>
    </row>
    <row r="62" spans="3:16" ht="16.5" x14ac:dyDescent="0.3">
      <c r="D62" s="529" t="s">
        <v>789</v>
      </c>
      <c r="I62" s="483">
        <f>'WK1 - Identification'!J71</f>
        <v>59026999.287156947</v>
      </c>
      <c r="J62" s="483">
        <f>'WK1 - Identification'!J72</f>
        <v>60797809.265771657</v>
      </c>
      <c r="K62" s="483">
        <f>'WK1 - Identification'!J73</f>
        <v>62621743.54374481</v>
      </c>
      <c r="L62" s="483">
        <f>'WK1 - Identification'!J74</f>
        <v>64500395.850057155</v>
      </c>
      <c r="M62" s="483">
        <f>'WK1 - Identification'!H75</f>
        <v>66435407.72555887</v>
      </c>
      <c r="N62" s="483">
        <f>'WK1 - Identification'!J76</f>
        <v>68428469.957325637</v>
      </c>
      <c r="O62" s="483">
        <f>'WK1 - Identification'!J77</f>
        <v>70481324.056045413</v>
      </c>
    </row>
    <row r="65" spans="2:15" ht="15" x14ac:dyDescent="0.25">
      <c r="B65" s="480" t="s">
        <v>542</v>
      </c>
      <c r="C65" s="480" t="s">
        <v>543</v>
      </c>
    </row>
    <row r="67" spans="2:15" ht="33.75" customHeight="1" x14ac:dyDescent="0.2">
      <c r="B67" s="744" t="s">
        <v>724</v>
      </c>
      <c r="C67" s="743"/>
      <c r="D67" s="743"/>
      <c r="E67" s="743"/>
      <c r="F67" s="743"/>
      <c r="G67" s="743"/>
      <c r="H67" s="743"/>
    </row>
    <row r="68" spans="2:15" x14ac:dyDescent="0.2">
      <c r="B68" s="743"/>
      <c r="C68" s="743"/>
      <c r="D68" s="743"/>
      <c r="E68" s="743"/>
      <c r="F68" s="743"/>
      <c r="G68" s="743"/>
      <c r="H68" s="743"/>
      <c r="I68" s="483">
        <f>+'WK1 - Identification'!E71</f>
        <v>0</v>
      </c>
    </row>
    <row r="71" spans="2:15" ht="19.5" x14ac:dyDescent="0.2">
      <c r="B71" s="481" t="s">
        <v>544</v>
      </c>
    </row>
    <row r="74" spans="2:15" ht="16.5" x14ac:dyDescent="0.3">
      <c r="B74" s="614" t="s">
        <v>815</v>
      </c>
      <c r="C74" s="615"/>
      <c r="D74" s="615"/>
      <c r="E74" s="615"/>
      <c r="F74" s="615"/>
      <c r="G74" s="615"/>
      <c r="I74" s="608" t="str">
        <f t="shared" ref="I74:O74" si="6">I58</f>
        <v>2015/16</v>
      </c>
      <c r="J74" s="608" t="str">
        <f t="shared" si="6"/>
        <v>2016/17</v>
      </c>
      <c r="K74" s="608" t="str">
        <f t="shared" si="6"/>
        <v>2017/18</v>
      </c>
      <c r="L74" s="608" t="str">
        <f t="shared" si="6"/>
        <v>2018/19</v>
      </c>
      <c r="M74" s="608" t="str">
        <f t="shared" si="6"/>
        <v>2019/20</v>
      </c>
      <c r="N74" s="608" t="str">
        <f t="shared" si="6"/>
        <v>2020/21</v>
      </c>
      <c r="O74" s="608" t="str">
        <f t="shared" si="6"/>
        <v>2021/22</v>
      </c>
    </row>
    <row r="75" spans="2:15" ht="16.5" x14ac:dyDescent="0.3">
      <c r="B75" s="614" t="s">
        <v>814</v>
      </c>
      <c r="C75" s="615"/>
      <c r="D75" s="615"/>
      <c r="E75" s="615"/>
      <c r="F75" s="615"/>
      <c r="G75" s="615"/>
      <c r="I75" s="475">
        <f t="shared" ref="I75:O75" si="7">I20</f>
        <v>3.8885007609247395E-2</v>
      </c>
      <c r="J75" s="475">
        <f t="shared" si="7"/>
        <v>7.0051557837524814E-2</v>
      </c>
      <c r="K75" s="475">
        <f t="shared" si="7"/>
        <v>0.10215310457265056</v>
      </c>
      <c r="L75" s="475">
        <f t="shared" si="7"/>
        <v>0.13521769770983008</v>
      </c>
      <c r="M75" s="475">
        <f t="shared" si="7"/>
        <v>0.16927422864112499</v>
      </c>
      <c r="N75" s="475">
        <f t="shared" si="7"/>
        <v>0.20435245550035874</v>
      </c>
      <c r="O75" s="475">
        <f t="shared" si="7"/>
        <v>0.24048302916536951</v>
      </c>
    </row>
    <row r="77" spans="2:15" ht="12.75" customHeight="1" x14ac:dyDescent="0.3">
      <c r="B77" s="614" t="s">
        <v>816</v>
      </c>
      <c r="C77" s="639"/>
      <c r="D77" s="639"/>
      <c r="E77" s="639"/>
      <c r="F77" s="639"/>
      <c r="G77" s="639"/>
      <c r="I77" s="608" t="str">
        <f>I74</f>
        <v>2015/16</v>
      </c>
      <c r="J77" s="608" t="str">
        <f t="shared" ref="J77:O77" si="8">J74</f>
        <v>2016/17</v>
      </c>
      <c r="K77" s="608" t="str">
        <f t="shared" si="8"/>
        <v>2017/18</v>
      </c>
      <c r="L77" s="608" t="str">
        <f t="shared" si="8"/>
        <v>2018/19</v>
      </c>
      <c r="M77" s="608" t="str">
        <f t="shared" si="8"/>
        <v>2019/20</v>
      </c>
      <c r="N77" s="608" t="str">
        <f t="shared" si="8"/>
        <v>2020/21</v>
      </c>
      <c r="O77" s="608" t="str">
        <f t="shared" si="8"/>
        <v>2021/22</v>
      </c>
    </row>
    <row r="78" spans="2:15" ht="16.5" x14ac:dyDescent="0.3">
      <c r="B78" s="614" t="s">
        <v>818</v>
      </c>
      <c r="C78" s="639"/>
      <c r="D78" s="639"/>
      <c r="E78" s="639"/>
      <c r="F78" s="639"/>
      <c r="G78" s="639"/>
      <c r="H78" s="472"/>
      <c r="I78" s="483">
        <f>'WK1 - Identification'!D57</f>
        <v>59026999.287156947</v>
      </c>
      <c r="J78" s="483">
        <f>'WK1 - Identification'!D58</f>
        <v>60797809.265771657</v>
      </c>
      <c r="K78" s="483">
        <f>'WK1 - Identification'!D59</f>
        <v>62621743.54374481</v>
      </c>
      <c r="L78" s="483">
        <f>'WK1 - Identification'!D60</f>
        <v>64500395.850057155</v>
      </c>
      <c r="M78" s="483">
        <f>'WK1 - Identification'!D61</f>
        <v>66435407.72555887</v>
      </c>
      <c r="N78" s="483">
        <f>'WK1 - Identification'!D62</f>
        <v>68428469.957325637</v>
      </c>
      <c r="O78" s="483">
        <f>'WK1 - Identification'!D63</f>
        <v>70481324.056045413</v>
      </c>
    </row>
    <row r="79" spans="2:15" ht="16.5" x14ac:dyDescent="0.3">
      <c r="B79" s="614" t="s">
        <v>817</v>
      </c>
      <c r="H79" s="472"/>
      <c r="I79" s="530"/>
    </row>
    <row r="80" spans="2:15" ht="12.75" x14ac:dyDescent="0.2">
      <c r="I80" s="1"/>
    </row>
    <row r="81" spans="2:20" ht="12.75" customHeight="1" x14ac:dyDescent="0.2">
      <c r="B81" s="638" t="s">
        <v>819</v>
      </c>
      <c r="C81" s="639"/>
      <c r="D81" s="639"/>
      <c r="E81" s="639"/>
      <c r="F81" s="639"/>
      <c r="G81" s="639"/>
      <c r="I81" s="608" t="str">
        <f>I77</f>
        <v>2015/16</v>
      </c>
      <c r="J81" s="608" t="str">
        <f t="shared" ref="J81:O81" si="9">J77</f>
        <v>2016/17</v>
      </c>
      <c r="K81" s="608" t="str">
        <f t="shared" si="9"/>
        <v>2017/18</v>
      </c>
      <c r="L81" s="608" t="str">
        <f t="shared" si="9"/>
        <v>2018/19</v>
      </c>
      <c r="M81" s="608" t="str">
        <f t="shared" si="9"/>
        <v>2019/20</v>
      </c>
      <c r="N81" s="608" t="str">
        <f t="shared" si="9"/>
        <v>2020/21</v>
      </c>
      <c r="O81" s="608" t="str">
        <f t="shared" si="9"/>
        <v>2021/22</v>
      </c>
    </row>
    <row r="82" spans="2:20" ht="16.5" x14ac:dyDescent="0.3">
      <c r="B82" s="614" t="s">
        <v>820</v>
      </c>
      <c r="C82" s="639"/>
      <c r="D82" s="639"/>
      <c r="E82" s="639"/>
      <c r="F82" s="639"/>
      <c r="G82" s="639"/>
      <c r="I82" s="483">
        <f>'WK1 - Identification'!F84</f>
        <v>844288.00003809482</v>
      </c>
      <c r="J82" s="474">
        <f>'WK1 - Identification'!F85</f>
        <v>1713904.6400773227</v>
      </c>
      <c r="K82" s="474">
        <f>'WK1 - Identification'!F86</f>
        <v>2609609.7793177366</v>
      </c>
      <c r="L82" s="474">
        <f>'WK1 - Identification'!F87</f>
        <v>3532186.0727353692</v>
      </c>
      <c r="M82" s="474">
        <f>'WK1 - Identification'!F88</f>
        <v>4482439.6549555063</v>
      </c>
      <c r="N82" s="474">
        <f>'WK1 - Identification'!F89</f>
        <v>5461200.8446422815</v>
      </c>
      <c r="O82" s="474">
        <f>'WK1 - Identification'!F90</f>
        <v>6469324.8700196743</v>
      </c>
    </row>
    <row r="85" spans="2:20" ht="27" x14ac:dyDescent="0.3">
      <c r="B85" s="614" t="s">
        <v>821</v>
      </c>
      <c r="C85" s="615"/>
      <c r="D85" s="615"/>
      <c r="E85" s="615"/>
      <c r="F85" s="615"/>
      <c r="G85" s="615"/>
      <c r="I85" s="611" t="s">
        <v>377</v>
      </c>
    </row>
    <row r="86" spans="2:20" ht="16.5" x14ac:dyDescent="0.3">
      <c r="B86" s="614" t="s">
        <v>822</v>
      </c>
      <c r="C86" s="615"/>
      <c r="D86" s="615"/>
      <c r="E86" s="615"/>
      <c r="F86" s="615"/>
      <c r="G86" s="615"/>
      <c r="H86" s="477" t="s">
        <v>547</v>
      </c>
      <c r="I86" s="483">
        <f>'WK6 - Expenditure Program'!N24</f>
        <v>9678815.7365597021</v>
      </c>
    </row>
    <row r="87" spans="2:20" x14ac:dyDescent="0.2">
      <c r="B87" s="441"/>
      <c r="C87" s="441"/>
      <c r="D87" s="441"/>
      <c r="E87" s="441"/>
      <c r="F87" s="441"/>
      <c r="G87" s="441"/>
    </row>
    <row r="88" spans="2:20" ht="12.75" x14ac:dyDescent="0.2">
      <c r="I88" s="1"/>
      <c r="J88" s="1"/>
      <c r="K88" s="1"/>
      <c r="L88" s="1"/>
      <c r="M88" s="1"/>
      <c r="N88" s="1"/>
    </row>
    <row r="89" spans="2:20" ht="21" customHeight="1" x14ac:dyDescent="0.2">
      <c r="B89" s="746" t="s">
        <v>826</v>
      </c>
      <c r="C89" s="743"/>
      <c r="D89" s="743"/>
      <c r="E89" s="743"/>
      <c r="F89" s="743"/>
      <c r="G89" s="743"/>
      <c r="H89" s="477" t="s">
        <v>547</v>
      </c>
      <c r="I89" s="483">
        <f>'WK6 - Expenditure Program'!N27</f>
        <v>7199753.842611989</v>
      </c>
    </row>
    <row r="90" spans="2:20" ht="25.5" x14ac:dyDescent="0.2">
      <c r="B90" s="743"/>
      <c r="C90" s="743"/>
      <c r="D90" s="743"/>
      <c r="E90" s="743"/>
      <c r="F90" s="743"/>
      <c r="G90" s="743"/>
      <c r="I90" s="608" t="str">
        <f>I81</f>
        <v>2015/16</v>
      </c>
      <c r="J90" s="608" t="str">
        <f t="shared" ref="J90:O90" si="10">J81</f>
        <v>2016/17</v>
      </c>
      <c r="K90" s="608" t="str">
        <f t="shared" si="10"/>
        <v>2017/18</v>
      </c>
      <c r="L90" s="608" t="str">
        <f t="shared" si="10"/>
        <v>2018/19</v>
      </c>
      <c r="M90" s="608" t="str">
        <f t="shared" si="10"/>
        <v>2019/20</v>
      </c>
      <c r="N90" s="608" t="str">
        <f t="shared" si="10"/>
        <v>2020/21</v>
      </c>
      <c r="O90" s="608" t="str">
        <f t="shared" si="10"/>
        <v>2021/22</v>
      </c>
      <c r="P90" s="608" t="str">
        <f>P176</f>
        <v>2022/23</v>
      </c>
      <c r="Q90" s="608" t="str">
        <f>Q176</f>
        <v>2023/24</v>
      </c>
      <c r="R90" s="608" t="str">
        <f>R176</f>
        <v>2024/25</v>
      </c>
      <c r="S90" s="611" t="str">
        <f>S176</f>
        <v>Sum of 10 years</v>
      </c>
      <c r="T90" s="608"/>
    </row>
    <row r="91" spans="2:20" x14ac:dyDescent="0.2">
      <c r="B91" s="165" t="s">
        <v>546</v>
      </c>
      <c r="H91" s="477" t="s">
        <v>548</v>
      </c>
      <c r="I91" s="483">
        <f>'WK6 - Expenditure Program'!D61</f>
        <v>423961.40715907828</v>
      </c>
      <c r="J91" s="483">
        <f>'WK6 - Expenditure Program'!E61</f>
        <v>390835.16992092447</v>
      </c>
      <c r="K91" s="483">
        <f>'WK6 - Expenditure Program'!F61</f>
        <v>355691.54483496735</v>
      </c>
      <c r="L91" s="483">
        <f>'WK6 - Expenditure Program'!G61</f>
        <v>318407.67298127525</v>
      </c>
      <c r="M91" s="483">
        <f>'WK6 - Expenditure Program'!H61</f>
        <v>278853.21333169332</v>
      </c>
      <c r="N91" s="483">
        <f>'WK6 - Expenditure Program'!I61</f>
        <v>236889.88708945177</v>
      </c>
      <c r="O91" s="483">
        <f>'WK6 - Expenditure Program'!J61</f>
        <v>192370.99427905807</v>
      </c>
      <c r="P91" s="483">
        <f>'WK6 - Expenditure Program'!K61</f>
        <v>145140.90089651104</v>
      </c>
      <c r="Q91" s="483">
        <f>'WK6 - Expenditure Program'!L61</f>
        <v>95034.494826966897</v>
      </c>
      <c r="R91" s="483">
        <f>'WK6 - Expenditure Program'!M61</f>
        <v>41876.608627787558</v>
      </c>
      <c r="S91" s="483">
        <f>'WK6 - Expenditure Program'!N61</f>
        <v>2479061.893947714</v>
      </c>
    </row>
    <row r="93" spans="2:20" x14ac:dyDescent="0.2">
      <c r="H93" s="477" t="s">
        <v>547</v>
      </c>
      <c r="I93" s="483">
        <f>'WK6 - Expenditure Program'!D62</f>
        <v>423961.40715907828</v>
      </c>
      <c r="J93" s="483">
        <f>'WK6 - Expenditure Program'!E62</f>
        <v>814796.57708000275</v>
      </c>
      <c r="K93" s="483">
        <f>'WK6 - Expenditure Program'!F62</f>
        <v>1170488.1219149702</v>
      </c>
      <c r="L93" s="483">
        <f>'WK6 - Expenditure Program'!G62</f>
        <v>1488895.7948962455</v>
      </c>
      <c r="M93" s="483">
        <f>'WK6 - Expenditure Program'!H62</f>
        <v>1767749.0082279388</v>
      </c>
      <c r="N93" s="483">
        <f>'WK6 - Expenditure Program'!I62</f>
        <v>2004638.8953173906</v>
      </c>
      <c r="O93" s="483">
        <f>'WK6 - Expenditure Program'!J62</f>
        <v>2197009.8895964487</v>
      </c>
      <c r="P93" s="483">
        <f>'WK6 - Expenditure Program'!K62</f>
        <v>2342150.7904929598</v>
      </c>
      <c r="Q93" s="483">
        <f>'WK6 - Expenditure Program'!L62</f>
        <v>2437185.2853199267</v>
      </c>
      <c r="R93" s="483">
        <f>'WK6 - Expenditure Program'!M62</f>
        <v>2479061.893947714</v>
      </c>
      <c r="S93" s="483">
        <f>'WK6 - Expenditure Program'!N62</f>
        <v>0</v>
      </c>
    </row>
    <row r="94" spans="2:20" x14ac:dyDescent="0.2">
      <c r="B94" s="165" t="s">
        <v>545</v>
      </c>
    </row>
    <row r="95" spans="2:20" x14ac:dyDescent="0.2">
      <c r="H95" s="477" t="s">
        <v>548</v>
      </c>
      <c r="I95" s="483">
        <f>'WK6 - Expenditure Program'!D80</f>
        <v>4500000</v>
      </c>
      <c r="J95" s="483">
        <f>'WK6 - Expenditure Program'!E80</f>
        <v>2700000</v>
      </c>
      <c r="K95" s="483">
        <f>'WK6 - Expenditure Program'!F80</f>
        <v>0</v>
      </c>
      <c r="L95" s="483">
        <f>'WK6 - Expenditure Program'!G80</f>
        <v>0</v>
      </c>
      <c r="M95" s="483">
        <f>'WK6 - Expenditure Program'!H80</f>
        <v>0</v>
      </c>
      <c r="N95" s="483">
        <f>'WK6 - Expenditure Program'!I80</f>
        <v>0</v>
      </c>
      <c r="O95" s="483">
        <f>'WK6 - Expenditure Program'!J80</f>
        <v>0</v>
      </c>
      <c r="P95" s="483">
        <f>'WK6 - Expenditure Program'!K80</f>
        <v>0</v>
      </c>
      <c r="Q95" s="483">
        <f>'WK6 - Expenditure Program'!L80</f>
        <v>0</v>
      </c>
      <c r="R95" s="483">
        <f>'WK6 - Expenditure Program'!M80</f>
        <v>0</v>
      </c>
      <c r="S95" s="483">
        <f>'WK6 - Expenditure Program'!N80</f>
        <v>7200000</v>
      </c>
    </row>
    <row r="97" spans="2:19" x14ac:dyDescent="0.2">
      <c r="H97" s="477" t="s">
        <v>547</v>
      </c>
      <c r="I97" s="483">
        <f>'WK6 - Expenditure Program'!D81</f>
        <v>4500000</v>
      </c>
      <c r="J97" s="483">
        <f>'WK6 - Expenditure Program'!E81</f>
        <v>7200000</v>
      </c>
      <c r="K97" s="483">
        <f>'WK6 - Expenditure Program'!F81</f>
        <v>7200000</v>
      </c>
      <c r="L97" s="483">
        <f>'WK6 - Expenditure Program'!G81</f>
        <v>7200000</v>
      </c>
      <c r="M97" s="483">
        <f>'WK6 - Expenditure Program'!H81</f>
        <v>7200000</v>
      </c>
      <c r="N97" s="483">
        <f>'WK6 - Expenditure Program'!I81</f>
        <v>7200000</v>
      </c>
      <c r="O97" s="483">
        <f>'WK6 - Expenditure Program'!J81</f>
        <v>7200000</v>
      </c>
      <c r="P97" s="483">
        <f>'WK6 - Expenditure Program'!K81</f>
        <v>7200000</v>
      </c>
      <c r="Q97" s="483">
        <f>'WK6 - Expenditure Program'!L81</f>
        <v>7200000</v>
      </c>
      <c r="R97" s="483">
        <f>'WK6 - Expenditure Program'!M81</f>
        <v>7200000</v>
      </c>
      <c r="S97" s="483">
        <f>'WK6 - Expenditure Program'!N81</f>
        <v>0</v>
      </c>
    </row>
    <row r="98" spans="2:19" x14ac:dyDescent="0.2">
      <c r="B98" s="165" t="s">
        <v>717</v>
      </c>
      <c r="H98" s="526"/>
      <c r="I98" s="530"/>
      <c r="J98" s="530"/>
      <c r="K98" s="530"/>
      <c r="L98" s="530"/>
      <c r="M98" s="530"/>
      <c r="N98" s="530"/>
      <c r="O98" s="530"/>
    </row>
    <row r="99" spans="2:19" x14ac:dyDescent="0.2">
      <c r="H99" s="477" t="s">
        <v>548</v>
      </c>
      <c r="I99" s="483">
        <f>'WK6 - Expenditure Program'!D94</f>
        <v>-3956055.2177643068</v>
      </c>
      <c r="J99" s="483">
        <f>'WK6 - Expenditure Program'!E94</f>
        <v>-2122928.980526153</v>
      </c>
      <c r="K99" s="483">
        <f>'WK6 - Expenditure Program'!F94</f>
        <v>612214.644559804</v>
      </c>
      <c r="L99" s="483">
        <f>'WK6 - Expenditure Program'!G94</f>
        <v>649498.51641349611</v>
      </c>
      <c r="M99" s="483">
        <f>'WK6 - Expenditure Program'!H94</f>
        <v>689052.97606307804</v>
      </c>
      <c r="N99" s="483">
        <f>'WK6 - Expenditure Program'!I94</f>
        <v>731016.30230531958</v>
      </c>
      <c r="O99" s="483">
        <f>'WK6 - Expenditure Program'!J94</f>
        <v>775535.19511571329</v>
      </c>
      <c r="P99" s="483">
        <f>'WK6 - Expenditure Program'!K94</f>
        <v>822765.28849826031</v>
      </c>
      <c r="Q99" s="483">
        <f>'WK6 - Expenditure Program'!L94</f>
        <v>872871.69456780446</v>
      </c>
      <c r="R99" s="483">
        <f>'WK6 - Expenditure Program'!M94</f>
        <v>926029.5807669838</v>
      </c>
      <c r="S99" s="483">
        <f>'WK6 - Expenditure Program'!N94</f>
        <v>0</v>
      </c>
    </row>
    <row r="100" spans="2:19" x14ac:dyDescent="0.2">
      <c r="I100" s="530"/>
      <c r="J100" s="530"/>
      <c r="K100" s="530"/>
      <c r="L100" s="530"/>
      <c r="M100" s="530"/>
      <c r="N100" s="530"/>
      <c r="O100" s="530"/>
    </row>
    <row r="101" spans="2:19" x14ac:dyDescent="0.2">
      <c r="H101" s="477" t="s">
        <v>547</v>
      </c>
      <c r="I101" s="483">
        <f>'WK6 - Expenditure Program'!D95</f>
        <v>-3956055.2177643068</v>
      </c>
      <c r="J101" s="483">
        <f>'WK6 - Expenditure Program'!E95</f>
        <v>-6078984.1982904598</v>
      </c>
      <c r="K101" s="483">
        <f>'WK6 - Expenditure Program'!F95</f>
        <v>-5466769.5537306555</v>
      </c>
      <c r="L101" s="483">
        <f>'WK6 - Expenditure Program'!G95</f>
        <v>-4817271.0373171596</v>
      </c>
      <c r="M101" s="483">
        <f>'WK6 - Expenditure Program'!H95</f>
        <v>-4128218.0612540813</v>
      </c>
      <c r="N101" s="483">
        <f>'WK6 - Expenditure Program'!I95</f>
        <v>-3397201.758948762</v>
      </c>
      <c r="O101" s="483">
        <f>'WK6 - Expenditure Program'!J95</f>
        <v>-2621666.5638330486</v>
      </c>
      <c r="P101" s="483">
        <f>'WK6 - Expenditure Program'!K95</f>
        <v>-1798901.2753347883</v>
      </c>
      <c r="Q101" s="483">
        <f>'WK6 - Expenditure Program'!L95</f>
        <v>-926029.5807669838</v>
      </c>
      <c r="R101" s="483">
        <f>'WK6 - Expenditure Program'!M95</f>
        <v>0</v>
      </c>
      <c r="S101" s="483">
        <f>'WK6 - Expenditure Program'!N95</f>
        <v>0</v>
      </c>
    </row>
    <row r="104" spans="2:19" ht="19.5" x14ac:dyDescent="0.2">
      <c r="B104" s="481" t="s">
        <v>549</v>
      </c>
    </row>
    <row r="106" spans="2:19" x14ac:dyDescent="0.2">
      <c r="B106" t="s">
        <v>550</v>
      </c>
    </row>
    <row r="109" spans="2:19" ht="19.5" x14ac:dyDescent="0.2">
      <c r="B109" s="481" t="s">
        <v>551</v>
      </c>
    </row>
    <row r="111" spans="2:19" ht="28.5" customHeight="1" x14ac:dyDescent="0.3">
      <c r="B111" s="614" t="s">
        <v>792</v>
      </c>
      <c r="C111" s="615"/>
      <c r="D111" s="615"/>
      <c r="E111" s="615"/>
      <c r="F111" s="615"/>
      <c r="G111" s="615"/>
      <c r="I111" s="608" t="str">
        <f>I90</f>
        <v>2015/16</v>
      </c>
      <c r="J111" s="608" t="str">
        <f t="shared" ref="J111:O111" si="11">J90</f>
        <v>2016/17</v>
      </c>
      <c r="K111" s="608" t="str">
        <f t="shared" si="11"/>
        <v>2017/18</v>
      </c>
      <c r="L111" s="608" t="str">
        <f t="shared" si="11"/>
        <v>2018/19</v>
      </c>
      <c r="M111" s="608" t="str">
        <f t="shared" si="11"/>
        <v>2019/20</v>
      </c>
      <c r="N111" s="608" t="str">
        <f t="shared" si="11"/>
        <v>2020/21</v>
      </c>
      <c r="O111" s="608" t="str">
        <f t="shared" si="11"/>
        <v>2021/22</v>
      </c>
    </row>
    <row r="112" spans="2:19" ht="20.25" customHeight="1" x14ac:dyDescent="0.3">
      <c r="B112" s="614" t="s">
        <v>794</v>
      </c>
      <c r="C112" s="615"/>
      <c r="D112" s="615"/>
      <c r="E112" s="615"/>
      <c r="F112" s="615"/>
      <c r="G112" s="615"/>
      <c r="I112" s="530" t="s">
        <v>691</v>
      </c>
      <c r="J112" s="530"/>
      <c r="K112" s="530"/>
      <c r="L112" s="530"/>
      <c r="M112" s="530"/>
      <c r="N112" s="530"/>
      <c r="O112" s="530"/>
    </row>
    <row r="113" spans="2:15" ht="16.5" x14ac:dyDescent="0.3">
      <c r="B113" s="479" t="s">
        <v>793</v>
      </c>
    </row>
    <row r="115" spans="2:15" ht="12" customHeight="1" x14ac:dyDescent="0.3">
      <c r="B115" s="614" t="s">
        <v>795</v>
      </c>
      <c r="C115" s="615"/>
      <c r="D115" s="615"/>
      <c r="E115" s="615"/>
      <c r="F115" s="615"/>
      <c r="G115" s="615"/>
    </row>
    <row r="116" spans="2:15" ht="17.25" customHeight="1" x14ac:dyDescent="0.3">
      <c r="B116" s="614" t="s">
        <v>796</v>
      </c>
      <c r="C116" s="615"/>
      <c r="D116" s="615"/>
      <c r="E116" s="615"/>
      <c r="F116" s="615"/>
      <c r="G116" s="615"/>
      <c r="I116" s="483">
        <f t="shared" ref="I116:O116" si="12">+I82</f>
        <v>844288.00003809482</v>
      </c>
      <c r="J116" s="483">
        <f t="shared" si="12"/>
        <v>1713904.6400773227</v>
      </c>
      <c r="K116" s="483">
        <f t="shared" si="12"/>
        <v>2609609.7793177366</v>
      </c>
      <c r="L116" s="483">
        <f t="shared" si="12"/>
        <v>3532186.0727353692</v>
      </c>
      <c r="M116" s="483">
        <f t="shared" si="12"/>
        <v>4482439.6549555063</v>
      </c>
      <c r="N116" s="483">
        <f t="shared" si="12"/>
        <v>5461200.8446422815</v>
      </c>
      <c r="O116" s="483">
        <f t="shared" si="12"/>
        <v>6469324.8700196743</v>
      </c>
    </row>
    <row r="119" spans="2:15" ht="19.5" x14ac:dyDescent="0.2">
      <c r="B119" s="481" t="s">
        <v>552</v>
      </c>
    </row>
    <row r="121" spans="2:15" ht="12" customHeight="1" x14ac:dyDescent="0.3">
      <c r="B121" s="614" t="s">
        <v>823</v>
      </c>
      <c r="C121" s="615"/>
      <c r="D121" s="615"/>
      <c r="E121" s="615"/>
      <c r="F121" s="615"/>
      <c r="G121" s="615"/>
      <c r="H121" s="545"/>
      <c r="M121" s="546"/>
    </row>
    <row r="122" spans="2:15" ht="17.25" customHeight="1" x14ac:dyDescent="0.3">
      <c r="B122" s="614" t="s">
        <v>824</v>
      </c>
      <c r="C122" s="615"/>
      <c r="D122" s="615"/>
      <c r="E122" s="615"/>
      <c r="F122" s="615"/>
      <c r="G122" s="615"/>
      <c r="H122" s="545"/>
      <c r="M122" s="547"/>
    </row>
    <row r="123" spans="2:15" ht="16.5" x14ac:dyDescent="0.3">
      <c r="B123" s="479" t="s">
        <v>825</v>
      </c>
      <c r="H123" s="610" t="s">
        <v>22</v>
      </c>
      <c r="I123" s="608" t="str">
        <f>I111</f>
        <v>2015/16</v>
      </c>
      <c r="J123" s="608" t="str">
        <f t="shared" ref="J123:O123" si="13">J111</f>
        <v>2016/17</v>
      </c>
      <c r="K123" s="608" t="str">
        <f t="shared" si="13"/>
        <v>2017/18</v>
      </c>
      <c r="L123" s="608" t="str">
        <f t="shared" si="13"/>
        <v>2018/19</v>
      </c>
      <c r="M123" s="608" t="str">
        <f t="shared" si="13"/>
        <v>2019/20</v>
      </c>
      <c r="N123" s="608" t="str">
        <f t="shared" si="13"/>
        <v>2020/21</v>
      </c>
      <c r="O123" s="608" t="str">
        <f t="shared" si="13"/>
        <v>2021/22</v>
      </c>
    </row>
    <row r="124" spans="2:15" x14ac:dyDescent="0.2">
      <c r="E124" t="s">
        <v>829</v>
      </c>
      <c r="H124" s="641">
        <f>'WK5a - Impact on Rates'!E88</f>
        <v>953.66230940113905</v>
      </c>
      <c r="I124" s="642">
        <f>'WK5a - Impact on Rates'!F88</f>
        <v>985.8465626765576</v>
      </c>
      <c r="J124" s="642">
        <f>'WK5a - Impact on Rates'!G88</f>
        <v>1015.4219595568544</v>
      </c>
      <c r="K124" s="642">
        <f>'WK5a - Impact on Rates'!H88</f>
        <v>1045.8846183435599</v>
      </c>
      <c r="L124" s="642">
        <f>'WK5a - Impact on Rates'!I88</f>
        <v>1077.2611568938667</v>
      </c>
      <c r="M124" s="642">
        <f>'WK5a - Impact on Rates'!J88</f>
        <v>1109.5789916006829</v>
      </c>
      <c r="N124" s="642">
        <f>'WK5a - Impact on Rates'!K88</f>
        <v>1142.8663613487033</v>
      </c>
      <c r="O124" s="642">
        <f>'WK5a - Impact on Rates'!L88</f>
        <v>1177.1523521891645</v>
      </c>
    </row>
    <row r="125" spans="2:15" x14ac:dyDescent="0.2">
      <c r="E125" t="s">
        <v>830</v>
      </c>
      <c r="H125" s="545"/>
      <c r="I125" s="616">
        <f>'WK5a - Impact on Rates'!N88</f>
        <v>32.184253275418541</v>
      </c>
      <c r="J125" s="616">
        <f>'WK5a - Impact on Rates'!P88</f>
        <v>29.575396880296807</v>
      </c>
      <c r="K125" s="616">
        <f>'WK5a - Impact on Rates'!T88</f>
        <v>30.462658786705447</v>
      </c>
      <c r="L125" s="616">
        <f>'WK5a - Impact on Rates'!X88</f>
        <v>31.376538550306805</v>
      </c>
      <c r="M125" s="616">
        <f>'WK5a - Impact on Rates'!AB88</f>
        <v>32.317834706816257</v>
      </c>
      <c r="N125" s="616">
        <f>'WK5a - Impact on Rates'!AF88</f>
        <v>33.28736974802041</v>
      </c>
      <c r="O125" s="616">
        <f>'WK5a - Impact on Rates'!AJ88</f>
        <v>34.285990840461182</v>
      </c>
    </row>
    <row r="126" spans="2:15" x14ac:dyDescent="0.2">
      <c r="E126" t="s">
        <v>659</v>
      </c>
      <c r="H126" s="545"/>
      <c r="I126" s="475">
        <f>'WK5a - Impact on Rates'!O88</f>
        <v>3.3748060459292913E-2</v>
      </c>
      <c r="J126" s="475">
        <f>'WK5a - Impact on Rates'!Q88</f>
        <v>3.0000000000000082E-2</v>
      </c>
      <c r="K126" s="475">
        <f>'WK5a - Impact on Rates'!U88</f>
        <v>2.9999999999999818E-2</v>
      </c>
      <c r="L126" s="475">
        <f>'WK5a - Impact on Rates'!Y88</f>
        <v>3.0000000000000009E-2</v>
      </c>
      <c r="M126" s="475">
        <f>'WK5a - Impact on Rates'!AC88</f>
        <v>3.0000000000000238E-2</v>
      </c>
      <c r="N126" s="475">
        <f>'WK5a - Impact on Rates'!AG88</f>
        <v>2.999999999999993E-2</v>
      </c>
      <c r="O126" s="475">
        <f>'WK5a - Impact on Rates'!AK88</f>
        <v>3.0000000000000072E-2</v>
      </c>
    </row>
    <row r="127" spans="2:15" x14ac:dyDescent="0.2">
      <c r="E127" t="s">
        <v>831</v>
      </c>
      <c r="H127" s="545"/>
      <c r="I127" s="616">
        <f>I125</f>
        <v>32.184253275418541</v>
      </c>
      <c r="J127" s="616">
        <f>'WK5a - Impact on Rates'!R88</f>
        <v>61.759650155715349</v>
      </c>
      <c r="K127" s="616">
        <f>'WK5a - Impact on Rates'!V88</f>
        <v>92.222308942420796</v>
      </c>
      <c r="L127" s="616">
        <f>'WK5a - Impact on Rates'!Z88</f>
        <v>123.5988474927276</v>
      </c>
      <c r="M127" s="616">
        <f>'WK5a - Impact on Rates'!AD88</f>
        <v>155.91668219954386</v>
      </c>
      <c r="N127" s="616">
        <f>'WK5a - Impact on Rates'!AH88</f>
        <v>189.20405194756427</v>
      </c>
      <c r="O127" s="616">
        <f>'WK5a - Impact on Rates'!AL88</f>
        <v>223.49004278802545</v>
      </c>
    </row>
    <row r="128" spans="2:15" x14ac:dyDescent="0.2">
      <c r="C128" s="183"/>
      <c r="E128" t="s">
        <v>660</v>
      </c>
      <c r="H128" s="545"/>
      <c r="I128" s="475">
        <f>I126</f>
        <v>3.3748060459292913E-2</v>
      </c>
      <c r="J128" s="475">
        <f>'WK5a - Impact on Rates'!S88</f>
        <v>6.4760502273071785E-2</v>
      </c>
      <c r="K128" s="475">
        <f>'WK5a - Impact on Rates'!W88</f>
        <v>9.6703317341263736E-2</v>
      </c>
      <c r="L128" s="475">
        <f>'WK5a - Impact on Rates'!AA88</f>
        <v>0.12960441686150165</v>
      </c>
      <c r="M128" s="475">
        <f>'WK5a - Impact on Rates'!AE88</f>
        <v>0.16349254936734697</v>
      </c>
      <c r="N128" s="475">
        <f>'WK5a - Impact on Rates'!AI88</f>
        <v>0.19839732584836731</v>
      </c>
      <c r="O128" s="475">
        <f>'WK5a - Impact on Rates'!AM88</f>
        <v>0.23434924562381843</v>
      </c>
    </row>
    <row r="129" spans="3:15" x14ac:dyDescent="0.2">
      <c r="C129" s="545"/>
    </row>
    <row r="130" spans="3:15" x14ac:dyDescent="0.2">
      <c r="C130" s="545"/>
      <c r="E130" t="s">
        <v>832</v>
      </c>
      <c r="H130" s="548">
        <f>'WK5a - Impact on Rates'!E134</f>
        <v>2062.880478523276</v>
      </c>
      <c r="I130" s="642">
        <f>'WK5a - Impact on Rates'!F134</f>
        <v>2204.9224640724105</v>
      </c>
      <c r="J130" s="642">
        <f>'WK5a - Impact on Rates'!G134</f>
        <v>2271.0701379945826</v>
      </c>
      <c r="K130" s="642">
        <f>'WK5a - Impact on Rates'!H134</f>
        <v>2339.2022421344209</v>
      </c>
      <c r="L130" s="642">
        <f>'WK5a - Impact on Rates'!I134</f>
        <v>2409.3783093984525</v>
      </c>
      <c r="M130" s="642">
        <f>'WK5a - Impact on Rates'!J134</f>
        <v>2481.6596586804076</v>
      </c>
      <c r="N130" s="642">
        <f>'WK5a - Impact on Rates'!K134</f>
        <v>2556.1094484408195</v>
      </c>
      <c r="O130" s="642">
        <f>'WK5a - Impact on Rates'!L134</f>
        <v>2632.7927318940438</v>
      </c>
    </row>
    <row r="131" spans="3:15" x14ac:dyDescent="0.2">
      <c r="C131" s="545"/>
      <c r="E131" t="s">
        <v>833</v>
      </c>
      <c r="I131" s="616">
        <f>'WK5a - Impact on Rates'!N134</f>
        <v>142.04198554913455</v>
      </c>
      <c r="J131" s="616">
        <f>'WK5a - Impact on Rates'!P134</f>
        <v>66.147673922172089</v>
      </c>
      <c r="K131" s="616">
        <f>'WK5a - Impact on Rates'!T134</f>
        <v>68.132104139838248</v>
      </c>
      <c r="L131" s="616">
        <f>'WK5a - Impact on Rates'!X134</f>
        <v>70.176067264031644</v>
      </c>
      <c r="M131" s="616">
        <f>'WK5a - Impact on Rates'!AB134</f>
        <v>72.281349281955045</v>
      </c>
      <c r="N131" s="616">
        <f>'WK5a - Impact on Rates'!AF134</f>
        <v>74.449789760411932</v>
      </c>
      <c r="O131" s="616">
        <f>'WK5a - Impact on Rates'!AJ134</f>
        <v>76.683283453224249</v>
      </c>
    </row>
    <row r="132" spans="3:15" x14ac:dyDescent="0.2">
      <c r="C132" s="545"/>
      <c r="E132" t="s">
        <v>661</v>
      </c>
      <c r="I132" s="475">
        <f>'WK5a - Impact on Rates'!O134</f>
        <v>6.8856139280941794E-2</v>
      </c>
      <c r="J132" s="475">
        <f>'WK5a - Impact on Rates'!Q134</f>
        <v>2.9999999999999898E-2</v>
      </c>
      <c r="K132" s="475">
        <f>'WK5a - Impact on Rates'!U134</f>
        <v>3.0000000000000339E-2</v>
      </c>
      <c r="L132" s="475">
        <f>'WK5a - Impact on Rates'!Y134</f>
        <v>2.9999999999999579E-2</v>
      </c>
      <c r="M132" s="475">
        <f>'WK5a - Impact on Rates'!AC134</f>
        <v>3.000000000000061E-2</v>
      </c>
      <c r="N132" s="475">
        <f>'WK5a - Impact on Rates'!AG134</f>
        <v>2.9999999999999881E-2</v>
      </c>
      <c r="O132" s="475">
        <f>'WK5a - Impact on Rates'!AK134</f>
        <v>2.9999999999999867E-2</v>
      </c>
    </row>
    <row r="133" spans="3:15" x14ac:dyDescent="0.2">
      <c r="C133" s="545"/>
      <c r="E133" t="s">
        <v>834</v>
      </c>
      <c r="I133" s="616">
        <f>I131</f>
        <v>142.04198554913455</v>
      </c>
      <c r="J133" s="616">
        <f>'WK5a - Impact on Rates'!R134</f>
        <v>208.18965947130664</v>
      </c>
      <c r="K133" s="616">
        <f>'WK5a - Impact on Rates'!V134</f>
        <v>276.32176361114489</v>
      </c>
      <c r="L133" s="616">
        <f>'WK5a - Impact on Rates'!Z134</f>
        <v>346.49783087517653</v>
      </c>
      <c r="M133" s="616">
        <f>'WK5a - Impact on Rates'!AD134</f>
        <v>418.77918015713158</v>
      </c>
      <c r="N133" s="616">
        <f>'WK5a - Impact on Rates'!AH134</f>
        <v>493.22896991754351</v>
      </c>
      <c r="O133" s="616">
        <f>'WK5a - Impact on Rates'!AL134</f>
        <v>569.91225337076776</v>
      </c>
    </row>
    <row r="134" spans="3:15" x14ac:dyDescent="0.2">
      <c r="C134" s="545"/>
      <c r="E134" t="s">
        <v>662</v>
      </c>
      <c r="I134" s="475">
        <f>I132</f>
        <v>6.8856139280941794E-2</v>
      </c>
      <c r="J134" s="475">
        <f>'WK5a - Impact on Rates'!S134</f>
        <v>0.10092182345936994</v>
      </c>
      <c r="K134" s="475">
        <f>'WK5a - Impact on Rates'!W134</f>
        <v>0.13394947816315142</v>
      </c>
      <c r="L134" s="475">
        <f>'WK5a - Impact on Rates'!AA134</f>
        <v>0.16796796250804547</v>
      </c>
      <c r="M134" s="475">
        <f>'WK5a - Impact on Rates'!AE134</f>
        <v>0.20300700138328756</v>
      </c>
      <c r="N134" s="475">
        <f>'WK5a - Impact on Rates'!AI134</f>
        <v>0.23909721142478604</v>
      </c>
      <c r="O134" s="475">
        <f>'WK5a - Impact on Rates'!AM134</f>
        <v>0.27627012776752946</v>
      </c>
    </row>
    <row r="135" spans="3:15" x14ac:dyDescent="0.2">
      <c r="C135" s="545"/>
    </row>
    <row r="136" spans="3:15" x14ac:dyDescent="0.2">
      <c r="C136" s="545"/>
      <c r="E136" t="s">
        <v>835</v>
      </c>
      <c r="H136" s="548">
        <f>'WK5a - Impact on Rates'!E155</f>
        <v>1916.4251066700924</v>
      </c>
      <c r="I136" s="642">
        <f>'WK5a - Impact on Rates'!F155</f>
        <v>1970.5144242002063</v>
      </c>
      <c r="J136" s="642">
        <f>'WK5a - Impact on Rates'!G155</f>
        <v>2029.6298569262124</v>
      </c>
      <c r="K136" s="642">
        <f>'WK5a - Impact on Rates'!H155</f>
        <v>2090.5187526339992</v>
      </c>
      <c r="L136" s="642">
        <f>'WK5a - Impact on Rates'!I155</f>
        <v>2153.2343152130193</v>
      </c>
      <c r="M136" s="642">
        <f>'WK5a - Impact on Rates'!J155</f>
        <v>2217.8313446694101</v>
      </c>
      <c r="N136" s="642">
        <f>'WK5a - Impact on Rates'!K155</f>
        <v>2284.3662850094925</v>
      </c>
      <c r="O136" s="642">
        <f>'WK5a - Impact on Rates'!L155</f>
        <v>2352.8972735597767</v>
      </c>
    </row>
    <row r="137" spans="3:15" x14ac:dyDescent="0.2">
      <c r="C137" s="545"/>
      <c r="E137" t="s">
        <v>836</v>
      </c>
      <c r="I137" s="616">
        <f>'WK5a - Impact on Rates'!N155</f>
        <v>54.089317530113931</v>
      </c>
      <c r="J137" s="616">
        <f>'WK5a - Impact on Rates'!P155</f>
        <v>59.11543272600602</v>
      </c>
      <c r="K137" s="616">
        <f>'WK5a - Impact on Rates'!T155</f>
        <v>60.888895707786787</v>
      </c>
      <c r="L137" s="616">
        <f>'WK5a - Impact on Rates'!X155</f>
        <v>62.715562579020116</v>
      </c>
      <c r="M137" s="616">
        <f>'WK5a - Impact on Rates'!AB155</f>
        <v>64.597029456390828</v>
      </c>
      <c r="N137" s="616">
        <f>'WK5a - Impact on Rates'!AF155</f>
        <v>66.534940340082358</v>
      </c>
      <c r="O137" s="616">
        <f>'WK5a - Impact on Rates'!AJ155</f>
        <v>68.530988550284292</v>
      </c>
    </row>
    <row r="138" spans="3:15" x14ac:dyDescent="0.2">
      <c r="C138" s="545"/>
      <c r="E138" t="s">
        <v>663</v>
      </c>
      <c r="I138" s="475">
        <f>'WK5a - Impact on Rates'!O155</f>
        <v>2.8224070610355069E-2</v>
      </c>
      <c r="J138" s="475">
        <f>'WK5a - Impact on Rates'!Q155</f>
        <v>2.9999999999999912E-2</v>
      </c>
      <c r="K138" s="475">
        <f>'WK5a - Impact on Rates'!U155</f>
        <v>3.0000000000000204E-2</v>
      </c>
      <c r="L138" s="475">
        <f>'WK5a - Impact on Rates'!Y155</f>
        <v>3.0000000000000068E-2</v>
      </c>
      <c r="M138" s="475">
        <f>'WK5a - Impact on Rates'!AC155</f>
        <v>3.0000000000000117E-2</v>
      </c>
      <c r="N138" s="475">
        <f>'WK5a - Impact on Rates'!AG155</f>
        <v>3.0000000000000023E-2</v>
      </c>
      <c r="O138" s="475">
        <f>'WK5a - Impact on Rates'!AK155</f>
        <v>2.9999999999999787E-2</v>
      </c>
    </row>
    <row r="139" spans="3:15" x14ac:dyDescent="0.2">
      <c r="C139" s="545"/>
      <c r="E139" t="s">
        <v>837</v>
      </c>
      <c r="I139" s="616">
        <f>I137</f>
        <v>54.089317530113931</v>
      </c>
      <c r="J139" s="616">
        <f>'WK5a - Impact on Rates'!R155</f>
        <v>113.20475025611995</v>
      </c>
      <c r="K139" s="616">
        <f>'WK5a - Impact on Rates'!V155</f>
        <v>174.09364596390674</v>
      </c>
      <c r="L139" s="616">
        <f>'WK5a - Impact on Rates'!Z155</f>
        <v>236.80920854292685</v>
      </c>
      <c r="M139" s="616">
        <f>'WK5a - Impact on Rates'!AD155</f>
        <v>301.40623799931768</v>
      </c>
      <c r="N139" s="616">
        <f>'WK5a - Impact on Rates'!AH155</f>
        <v>367.94117833940004</v>
      </c>
      <c r="O139" s="616">
        <f>'WK5a - Impact on Rates'!AL155</f>
        <v>436.47216688968433</v>
      </c>
    </row>
    <row r="140" spans="3:15" x14ac:dyDescent="0.2">
      <c r="C140" s="545"/>
      <c r="E140" t="s">
        <v>664</v>
      </c>
      <c r="I140" s="475">
        <f>I138</f>
        <v>2.8224070610355069E-2</v>
      </c>
      <c r="J140" s="475">
        <f>'WK5a - Impact on Rates'!S155</f>
        <v>5.9070792728665632E-2</v>
      </c>
      <c r="K140" s="475">
        <f>'WK5a - Impact on Rates'!W155</f>
        <v>9.0842916510525812E-2</v>
      </c>
      <c r="L140" s="475">
        <f>'WK5a - Impact on Rates'!AA155</f>
        <v>0.12356820400584166</v>
      </c>
      <c r="M140" s="475">
        <f>'WK5a - Impact on Rates'!AE155</f>
        <v>0.15727525012601704</v>
      </c>
      <c r="N140" s="475">
        <f>'WK5a - Impact on Rates'!AI155</f>
        <v>0.19199350762979758</v>
      </c>
      <c r="O140" s="475">
        <f>'WK5a - Impact on Rates'!AM155</f>
        <v>0.22775331285869127</v>
      </c>
    </row>
    <row r="141" spans="3:15" x14ac:dyDescent="0.2">
      <c r="C141" s="545"/>
    </row>
    <row r="142" spans="3:15" x14ac:dyDescent="0.2">
      <c r="C142" s="545"/>
      <c r="E142" t="s">
        <v>838</v>
      </c>
      <c r="H142" s="548" t="str">
        <f>'WK5a - Impact on Rates'!E176</f>
        <v/>
      </c>
      <c r="I142" s="642" t="str">
        <f>'WK5a - Impact on Rates'!F176</f>
        <v/>
      </c>
      <c r="J142" s="642" t="e">
        <f>'WK5a - Impact on Rates'!G176</f>
        <v>#DIV/0!</v>
      </c>
      <c r="K142" s="642" t="e">
        <f>'WK5a - Impact on Rates'!H176</f>
        <v>#DIV/0!</v>
      </c>
      <c r="L142" s="642" t="e">
        <f>'WK5a - Impact on Rates'!I176</f>
        <v>#DIV/0!</v>
      </c>
      <c r="M142" s="642" t="e">
        <f>'WK5a - Impact on Rates'!J176</f>
        <v>#DIV/0!</v>
      </c>
      <c r="N142" s="642" t="e">
        <f>'WK5a - Impact on Rates'!K176</f>
        <v>#DIV/0!</v>
      </c>
      <c r="O142" s="642" t="e">
        <f>'WK5a - Impact on Rates'!L176</f>
        <v>#DIV/0!</v>
      </c>
    </row>
    <row r="143" spans="3:15" x14ac:dyDescent="0.2">
      <c r="C143" s="545"/>
      <c r="E143" t="s">
        <v>841</v>
      </c>
      <c r="I143" s="616" t="str">
        <f>'WK5a - Impact on Rates'!N176</f>
        <v/>
      </c>
      <c r="J143" s="616" t="e">
        <f>'WK5a - Impact on Rates'!P176</f>
        <v>#DIV/0!</v>
      </c>
      <c r="K143" s="616" t="e">
        <f>'WK5a - Impact on Rates'!T176</f>
        <v>#DIV/0!</v>
      </c>
      <c r="L143" s="616" t="e">
        <f>'WK5a - Impact on Rates'!X176</f>
        <v>#DIV/0!</v>
      </c>
      <c r="M143" s="616" t="e">
        <f>'WK5a - Impact on Rates'!AB176</f>
        <v>#DIV/0!</v>
      </c>
      <c r="N143" s="616" t="e">
        <f>'WK5a - Impact on Rates'!AF176</f>
        <v>#DIV/0!</v>
      </c>
      <c r="O143" s="616" t="e">
        <f>'WK5a - Impact on Rates'!AJ176</f>
        <v>#DIV/0!</v>
      </c>
    </row>
    <row r="144" spans="3:15" x14ac:dyDescent="0.2">
      <c r="C144" s="545"/>
      <c r="E144" t="s">
        <v>665</v>
      </c>
      <c r="I144" s="475" t="str">
        <f>'WK5a - Impact on Rates'!O176</f>
        <v/>
      </c>
      <c r="J144" s="475" t="e">
        <f>'WK5a - Impact on Rates'!Q176</f>
        <v>#DIV/0!</v>
      </c>
      <c r="K144" s="475" t="e">
        <f>'WK5a - Impact on Rates'!U176</f>
        <v>#DIV/0!</v>
      </c>
      <c r="L144" s="475" t="e">
        <f>'WK5a - Impact on Rates'!Y176</f>
        <v>#DIV/0!</v>
      </c>
      <c r="M144" s="475" t="e">
        <f>'WK5a - Impact on Rates'!AC176</f>
        <v>#DIV/0!</v>
      </c>
      <c r="N144" s="475" t="e">
        <f>'WK5a - Impact on Rates'!AG176</f>
        <v>#DIV/0!</v>
      </c>
      <c r="O144" s="475" t="e">
        <f>'WK5a - Impact on Rates'!AK176</f>
        <v>#DIV/0!</v>
      </c>
    </row>
    <row r="145" spans="2:16" x14ac:dyDescent="0.2">
      <c r="C145" s="545"/>
      <c r="E145" t="s">
        <v>839</v>
      </c>
      <c r="I145" s="616" t="str">
        <f>I143</f>
        <v/>
      </c>
      <c r="J145" s="616" t="e">
        <f>'WK5a - Impact on Rates'!R176</f>
        <v>#DIV/0!</v>
      </c>
      <c r="K145" s="616" t="e">
        <f>'WK5a - Impact on Rates'!V176</f>
        <v>#DIV/0!</v>
      </c>
      <c r="L145" s="616" t="e">
        <f>'WK5a - Impact on Rates'!Z176</f>
        <v>#DIV/0!</v>
      </c>
      <c r="M145" s="616" t="e">
        <f>'WK5a - Impact on Rates'!AD176</f>
        <v>#DIV/0!</v>
      </c>
      <c r="N145" s="616" t="e">
        <f>'WK5a - Impact on Rates'!AH176</f>
        <v>#DIV/0!</v>
      </c>
      <c r="O145" s="616" t="e">
        <f>'WK5a - Impact on Rates'!AL176</f>
        <v>#DIV/0!</v>
      </c>
    </row>
    <row r="146" spans="2:16" x14ac:dyDescent="0.2">
      <c r="C146" s="545"/>
      <c r="E146" t="s">
        <v>666</v>
      </c>
      <c r="I146" s="475" t="str">
        <f>I144</f>
        <v/>
      </c>
      <c r="J146" s="475" t="e">
        <f>'WK5a - Impact on Rates'!S176</f>
        <v>#DIV/0!</v>
      </c>
      <c r="K146" s="475" t="e">
        <f>'WK5a - Impact on Rates'!W176</f>
        <v>#DIV/0!</v>
      </c>
      <c r="L146" s="475" t="e">
        <f>'WK5a - Impact on Rates'!AA176</f>
        <v>#DIV/0!</v>
      </c>
      <c r="M146" s="475" t="e">
        <f>'WK5a - Impact on Rates'!AE176</f>
        <v>#DIV/0!</v>
      </c>
      <c r="N146" s="475" t="e">
        <f>'WK5a - Impact on Rates'!AI176</f>
        <v>#DIV/0!</v>
      </c>
      <c r="O146" s="475" t="e">
        <f>'WK5a - Impact on Rates'!AM176</f>
        <v>#DIV/0!</v>
      </c>
    </row>
    <row r="147" spans="2:16" x14ac:dyDescent="0.2">
      <c r="C147" s="545"/>
    </row>
    <row r="148" spans="2:16" x14ac:dyDescent="0.2">
      <c r="C148" s="183"/>
    </row>
    <row r="149" spans="2:16" ht="16.5" x14ac:dyDescent="0.3">
      <c r="B149" s="479" t="s">
        <v>553</v>
      </c>
      <c r="C149" s="479" t="s">
        <v>554</v>
      </c>
      <c r="H149" s="545"/>
      <c r="I149" s="608" t="str">
        <f>I123</f>
        <v>2015/16</v>
      </c>
      <c r="J149" s="608" t="str">
        <f t="shared" ref="J149:O149" si="14">J123</f>
        <v>2016/17</v>
      </c>
      <c r="K149" s="608" t="str">
        <f t="shared" si="14"/>
        <v>2017/18</v>
      </c>
      <c r="L149" s="608" t="str">
        <f t="shared" si="14"/>
        <v>2018/19</v>
      </c>
      <c r="M149" s="608" t="str">
        <f t="shared" si="14"/>
        <v>2019/20</v>
      </c>
      <c r="N149" s="608" t="str">
        <f t="shared" si="14"/>
        <v>2020/21</v>
      </c>
      <c r="O149" s="608" t="str">
        <f t="shared" si="14"/>
        <v>2021/22</v>
      </c>
    </row>
    <row r="150" spans="2:16" x14ac:dyDescent="0.2">
      <c r="D150" t="s">
        <v>830</v>
      </c>
      <c r="H150" s="545"/>
      <c r="I150" s="686">
        <f t="shared" ref="I150:O150" si="15">I125</f>
        <v>32.184253275418541</v>
      </c>
      <c r="J150" s="686">
        <f t="shared" si="15"/>
        <v>29.575396880296807</v>
      </c>
      <c r="K150" s="686">
        <f t="shared" si="15"/>
        <v>30.462658786705447</v>
      </c>
      <c r="L150" s="686">
        <f t="shared" si="15"/>
        <v>31.376538550306805</v>
      </c>
      <c r="M150" s="686">
        <f t="shared" si="15"/>
        <v>32.317834706816257</v>
      </c>
      <c r="N150" s="686">
        <f t="shared" si="15"/>
        <v>33.28736974802041</v>
      </c>
      <c r="O150" s="686">
        <f t="shared" si="15"/>
        <v>34.285990840461182</v>
      </c>
    </row>
    <row r="151" spans="2:16" x14ac:dyDescent="0.2">
      <c r="D151" t="s">
        <v>659</v>
      </c>
      <c r="H151" s="183"/>
      <c r="I151" s="692">
        <f t="shared" ref="I151:O151" si="16">I126</f>
        <v>3.3748060459292913E-2</v>
      </c>
      <c r="J151" s="692">
        <f t="shared" si="16"/>
        <v>3.0000000000000082E-2</v>
      </c>
      <c r="K151" s="692">
        <f t="shared" si="16"/>
        <v>2.9999999999999818E-2</v>
      </c>
      <c r="L151" s="692">
        <f t="shared" si="16"/>
        <v>3.0000000000000009E-2</v>
      </c>
      <c r="M151" s="692">
        <f t="shared" si="16"/>
        <v>3.0000000000000238E-2</v>
      </c>
      <c r="N151" s="692">
        <f t="shared" si="16"/>
        <v>2.999999999999993E-2</v>
      </c>
      <c r="O151" s="692">
        <f t="shared" si="16"/>
        <v>3.0000000000000072E-2</v>
      </c>
    </row>
    <row r="152" spans="2:16" x14ac:dyDescent="0.2">
      <c r="C152" s="545"/>
      <c r="H152" s="183"/>
      <c r="I152" s="688"/>
      <c r="J152" s="688"/>
      <c r="K152" s="688"/>
      <c r="L152" s="688"/>
      <c r="M152" s="688"/>
      <c r="N152" s="688"/>
      <c r="O152" s="688"/>
    </row>
    <row r="153" spans="2:16" x14ac:dyDescent="0.2">
      <c r="D153" t="s">
        <v>840</v>
      </c>
      <c r="H153" s="24"/>
      <c r="I153" s="689">
        <f t="shared" ref="I153:O153" si="17">I131</f>
        <v>142.04198554913455</v>
      </c>
      <c r="J153" s="689">
        <f t="shared" si="17"/>
        <v>66.147673922172089</v>
      </c>
      <c r="K153" s="689">
        <f t="shared" si="17"/>
        <v>68.132104139838248</v>
      </c>
      <c r="L153" s="689">
        <f t="shared" si="17"/>
        <v>70.176067264031644</v>
      </c>
      <c r="M153" s="689">
        <f t="shared" si="17"/>
        <v>72.281349281955045</v>
      </c>
      <c r="N153" s="689">
        <f t="shared" si="17"/>
        <v>74.449789760411932</v>
      </c>
      <c r="O153" s="689">
        <f t="shared" si="17"/>
        <v>76.683283453224249</v>
      </c>
      <c r="P153" s="2"/>
    </row>
    <row r="154" spans="2:16" x14ac:dyDescent="0.2">
      <c r="D154" t="s">
        <v>675</v>
      </c>
      <c r="H154" s="24"/>
      <c r="I154" s="693">
        <f t="shared" ref="I154:O154" si="18">I132</f>
        <v>6.8856139280941794E-2</v>
      </c>
      <c r="J154" s="693">
        <f t="shared" si="18"/>
        <v>2.9999999999999898E-2</v>
      </c>
      <c r="K154" s="693">
        <f t="shared" si="18"/>
        <v>3.0000000000000339E-2</v>
      </c>
      <c r="L154" s="693">
        <f t="shared" si="18"/>
        <v>2.9999999999999579E-2</v>
      </c>
      <c r="M154" s="693">
        <f t="shared" si="18"/>
        <v>3.000000000000061E-2</v>
      </c>
      <c r="N154" s="693">
        <f t="shared" si="18"/>
        <v>2.9999999999999881E-2</v>
      </c>
      <c r="O154" s="693">
        <f t="shared" si="18"/>
        <v>2.9999999999999867E-2</v>
      </c>
      <c r="P154" s="2"/>
    </row>
    <row r="155" spans="2:16" x14ac:dyDescent="0.2">
      <c r="H155" s="24"/>
      <c r="I155" s="690"/>
      <c r="J155" s="690"/>
      <c r="K155" s="690"/>
      <c r="L155" s="690"/>
      <c r="M155" s="691"/>
      <c r="N155" s="690"/>
      <c r="O155" s="690"/>
      <c r="P155" s="2"/>
    </row>
    <row r="156" spans="2:16" x14ac:dyDescent="0.2">
      <c r="D156" t="s">
        <v>836</v>
      </c>
      <c r="H156" s="24"/>
      <c r="I156" s="689">
        <f t="shared" ref="I156:O157" si="19">I137</f>
        <v>54.089317530113931</v>
      </c>
      <c r="J156" s="689">
        <f t="shared" si="19"/>
        <v>59.11543272600602</v>
      </c>
      <c r="K156" s="689">
        <f t="shared" si="19"/>
        <v>60.888895707786787</v>
      </c>
      <c r="L156" s="689">
        <f t="shared" si="19"/>
        <v>62.715562579020116</v>
      </c>
      <c r="M156" s="689">
        <f t="shared" si="19"/>
        <v>64.597029456390828</v>
      </c>
      <c r="N156" s="689">
        <f t="shared" si="19"/>
        <v>66.534940340082358</v>
      </c>
      <c r="O156" s="689">
        <f t="shared" si="19"/>
        <v>68.530988550284292</v>
      </c>
      <c r="P156" s="2"/>
    </row>
    <row r="157" spans="2:16" x14ac:dyDescent="0.2">
      <c r="D157" t="s">
        <v>663</v>
      </c>
      <c r="H157" s="24"/>
      <c r="I157" s="693">
        <f t="shared" si="19"/>
        <v>2.8224070610355069E-2</v>
      </c>
      <c r="J157" s="693">
        <f t="shared" si="19"/>
        <v>2.9999999999999912E-2</v>
      </c>
      <c r="K157" s="693">
        <f t="shared" si="19"/>
        <v>3.0000000000000204E-2</v>
      </c>
      <c r="L157" s="693">
        <f t="shared" si="19"/>
        <v>3.0000000000000068E-2</v>
      </c>
      <c r="M157" s="693">
        <f t="shared" si="19"/>
        <v>3.0000000000000117E-2</v>
      </c>
      <c r="N157" s="693">
        <f t="shared" si="19"/>
        <v>3.0000000000000023E-2</v>
      </c>
      <c r="O157" s="693">
        <f t="shared" si="19"/>
        <v>2.9999999999999787E-2</v>
      </c>
      <c r="P157" s="2"/>
    </row>
    <row r="158" spans="2:16" x14ac:dyDescent="0.2">
      <c r="H158" s="24"/>
      <c r="I158" s="690"/>
      <c r="J158" s="690"/>
      <c r="K158" s="690"/>
      <c r="L158" s="690"/>
      <c r="M158" s="691"/>
      <c r="N158" s="690"/>
      <c r="O158" s="690"/>
      <c r="P158" s="2"/>
    </row>
    <row r="159" spans="2:16" x14ac:dyDescent="0.2">
      <c r="D159" t="s">
        <v>841</v>
      </c>
      <c r="H159" s="183"/>
      <c r="I159" s="687" t="str">
        <f t="shared" ref="I159:O160" si="20">I143</f>
        <v/>
      </c>
      <c r="J159" s="687" t="e">
        <f t="shared" si="20"/>
        <v>#DIV/0!</v>
      </c>
      <c r="K159" s="687" t="e">
        <f t="shared" si="20"/>
        <v>#DIV/0!</v>
      </c>
      <c r="L159" s="687" t="e">
        <f t="shared" si="20"/>
        <v>#DIV/0!</v>
      </c>
      <c r="M159" s="687" t="e">
        <f t="shared" si="20"/>
        <v>#DIV/0!</v>
      </c>
      <c r="N159" s="687" t="e">
        <f t="shared" si="20"/>
        <v>#DIV/0!</v>
      </c>
      <c r="O159" s="687" t="e">
        <f t="shared" si="20"/>
        <v>#DIV/0!</v>
      </c>
    </row>
    <row r="160" spans="2:16" x14ac:dyDescent="0.2">
      <c r="D160" t="s">
        <v>665</v>
      </c>
      <c r="H160" s="183"/>
      <c r="I160" s="692" t="str">
        <f t="shared" si="20"/>
        <v/>
      </c>
      <c r="J160" s="692" t="e">
        <f t="shared" si="20"/>
        <v>#DIV/0!</v>
      </c>
      <c r="K160" s="692" t="e">
        <f t="shared" si="20"/>
        <v>#DIV/0!</v>
      </c>
      <c r="L160" s="692" t="e">
        <f t="shared" si="20"/>
        <v>#DIV/0!</v>
      </c>
      <c r="M160" s="692" t="e">
        <f t="shared" si="20"/>
        <v>#DIV/0!</v>
      </c>
      <c r="N160" s="692" t="e">
        <f t="shared" si="20"/>
        <v>#DIV/0!</v>
      </c>
      <c r="O160" s="692" t="e">
        <f t="shared" si="20"/>
        <v>#DIV/0!</v>
      </c>
    </row>
    <row r="163" spans="2:19" ht="19.5" x14ac:dyDescent="0.2">
      <c r="B163" s="481" t="s">
        <v>555</v>
      </c>
    </row>
    <row r="165" spans="2:19" ht="16.5" x14ac:dyDescent="0.3">
      <c r="B165" s="479" t="s">
        <v>725</v>
      </c>
      <c r="O165" s="483">
        <f>+I86</f>
        <v>9678815.7365597021</v>
      </c>
    </row>
    <row r="168" spans="2:19" ht="16.5" x14ac:dyDescent="0.3">
      <c r="B168" s="479" t="s">
        <v>726</v>
      </c>
      <c r="O168" s="483">
        <f>SUM('WK6 - Expenditure Program'!N30:N35)</f>
        <v>2479061.893947714</v>
      </c>
    </row>
    <row r="170" spans="2:19" ht="16.5" x14ac:dyDescent="0.3">
      <c r="B170" s="479" t="s">
        <v>727</v>
      </c>
      <c r="O170" s="483">
        <f>SUM('WK6 - Expenditure Program'!N81)</f>
        <v>0</v>
      </c>
    </row>
    <row r="172" spans="2:19" ht="12" customHeight="1" x14ac:dyDescent="0.2">
      <c r="C172" s="615"/>
      <c r="D172" s="615"/>
      <c r="E172" s="615"/>
      <c r="F172" s="615"/>
      <c r="G172" s="615"/>
    </row>
    <row r="173" spans="2:19" ht="16.5" x14ac:dyDescent="0.3">
      <c r="B173" s="614" t="s">
        <v>842</v>
      </c>
      <c r="C173" s="615"/>
      <c r="D173" s="615"/>
      <c r="E173" s="615"/>
      <c r="F173" s="615"/>
      <c r="G173" s="615"/>
      <c r="O173" t="s">
        <v>646</v>
      </c>
    </row>
    <row r="174" spans="2:19" x14ac:dyDescent="0.2">
      <c r="B174" s="615"/>
      <c r="C174" s="615"/>
      <c r="D174" s="615"/>
      <c r="E174" s="615"/>
      <c r="F174" s="615"/>
      <c r="G174" s="615"/>
    </row>
    <row r="176" spans="2:19" ht="26.25" x14ac:dyDescent="0.25">
      <c r="B176" s="480" t="s">
        <v>560</v>
      </c>
      <c r="I176" s="608" t="str">
        <f>I149</f>
        <v>2015/16</v>
      </c>
      <c r="J176" s="608" t="str">
        <f t="shared" ref="J176:O176" si="21">J149</f>
        <v>2016/17</v>
      </c>
      <c r="K176" s="608" t="str">
        <f t="shared" si="21"/>
        <v>2017/18</v>
      </c>
      <c r="L176" s="608" t="str">
        <f t="shared" si="21"/>
        <v>2018/19</v>
      </c>
      <c r="M176" s="608" t="str">
        <f t="shared" si="21"/>
        <v>2019/20</v>
      </c>
      <c r="N176" s="608" t="str">
        <f t="shared" si="21"/>
        <v>2020/21</v>
      </c>
      <c r="O176" s="608" t="str">
        <f t="shared" si="21"/>
        <v>2021/22</v>
      </c>
      <c r="P176" s="608" t="str">
        <f>'WK6 - Expenditure Program'!K21</f>
        <v>2022/23</v>
      </c>
      <c r="Q176" s="608" t="str">
        <f>'WK6 - Expenditure Program'!L21</f>
        <v>2023/24</v>
      </c>
      <c r="R176" s="608" t="str">
        <f>'WK6 - Expenditure Program'!M21</f>
        <v>2024/25</v>
      </c>
      <c r="S176" s="611" t="s">
        <v>377</v>
      </c>
    </row>
    <row r="178" spans="2:19" ht="16.5" x14ac:dyDescent="0.3">
      <c r="C178" s="479" t="s">
        <v>556</v>
      </c>
      <c r="I178" s="483">
        <f>'WK6 - Expenditure Program'!D24</f>
        <v>844288.00003809482</v>
      </c>
      <c r="J178" s="483">
        <f>'WK6 - Expenditure Program'!E24</f>
        <v>869616.64003923535</v>
      </c>
      <c r="K178" s="483">
        <f>'WK6 - Expenditure Program'!F24</f>
        <v>895705.1392404139</v>
      </c>
      <c r="L178" s="483">
        <f>'WK6 - Expenditure Program'!G24</f>
        <v>922576.29341762513</v>
      </c>
      <c r="M178" s="483">
        <f>'WK6 - Expenditure Program'!H24</f>
        <v>950253.58222015202</v>
      </c>
      <c r="N178" s="483">
        <f>'WK6 - Expenditure Program'!I24</f>
        <v>978761.18968676031</v>
      </c>
      <c r="O178" s="483">
        <f>'WK6 - Expenditure Program'!J24</f>
        <v>1008124.025377363</v>
      </c>
      <c r="P178" s="483">
        <f>'WK6 - Expenditure Program'!K24</f>
        <v>1038367.7461386839</v>
      </c>
      <c r="Q178" s="483">
        <f>'WK6 - Expenditure Program'!L24</f>
        <v>1069518.7785228444</v>
      </c>
      <c r="R178" s="483">
        <f>'WK6 - Expenditure Program'!M24</f>
        <v>1101604.3418785299</v>
      </c>
      <c r="S178" s="483">
        <f>'WK6 - Expenditure Program'!N24</f>
        <v>9678815.7365597021</v>
      </c>
    </row>
    <row r="179" spans="2:19" x14ac:dyDescent="0.2">
      <c r="O179" s="441"/>
    </row>
    <row r="180" spans="2:19" x14ac:dyDescent="0.2">
      <c r="C180" s="742" t="s">
        <v>557</v>
      </c>
      <c r="D180" s="743"/>
      <c r="E180" s="743"/>
      <c r="F180" s="743"/>
      <c r="G180" s="743"/>
      <c r="H180" t="s">
        <v>667</v>
      </c>
      <c r="I180" s="483">
        <f>'WK6 - Expenditure Program'!D61</f>
        <v>423961.40715907828</v>
      </c>
      <c r="J180" s="483">
        <f>'WK6 - Expenditure Program'!E61</f>
        <v>390835.16992092447</v>
      </c>
      <c r="K180" s="483">
        <f>'WK6 - Expenditure Program'!F61</f>
        <v>355691.54483496735</v>
      </c>
      <c r="L180" s="483">
        <f>'WK6 - Expenditure Program'!G61</f>
        <v>318407.67298127525</v>
      </c>
      <c r="M180" s="483">
        <f>'WK6 - Expenditure Program'!H61</f>
        <v>278853.21333169332</v>
      </c>
      <c r="N180" s="483">
        <f>'WK6 - Expenditure Program'!I61</f>
        <v>236889.88708945177</v>
      </c>
      <c r="O180" s="483">
        <f>'WK6 - Expenditure Program'!J61</f>
        <v>192370.99427905807</v>
      </c>
      <c r="P180" s="483">
        <f>'WK6 - Expenditure Program'!K61</f>
        <v>145140.90089651104</v>
      </c>
      <c r="Q180" s="483">
        <f>'WK6 - Expenditure Program'!L61</f>
        <v>95034.494826966897</v>
      </c>
      <c r="R180" s="483">
        <f>'WK6 - Expenditure Program'!M61</f>
        <v>41876.608627787558</v>
      </c>
      <c r="S180" s="483">
        <f>'WK6 - Expenditure Program'!N61</f>
        <v>2479061.893947714</v>
      </c>
    </row>
    <row r="181" spans="2:19" ht="12.75" x14ac:dyDescent="0.2">
      <c r="C181" s="478"/>
      <c r="D181" s="441"/>
      <c r="E181" s="441"/>
      <c r="F181" s="441"/>
      <c r="G181" s="441"/>
      <c r="H181" t="s">
        <v>668</v>
      </c>
      <c r="I181" s="483">
        <f>'WK6 - Expenditure Program'!D62</f>
        <v>423961.40715907828</v>
      </c>
      <c r="J181" s="483">
        <f>'WK6 - Expenditure Program'!E62</f>
        <v>814796.57708000275</v>
      </c>
      <c r="K181" s="483">
        <f>'WK6 - Expenditure Program'!F62</f>
        <v>1170488.1219149702</v>
      </c>
      <c r="L181" s="483">
        <f>'WK6 - Expenditure Program'!G62</f>
        <v>1488895.7948962455</v>
      </c>
      <c r="M181" s="483">
        <f>'WK6 - Expenditure Program'!H62</f>
        <v>1767749.0082279388</v>
      </c>
      <c r="N181" s="483">
        <f>'WK6 - Expenditure Program'!I62</f>
        <v>2004638.8953173906</v>
      </c>
      <c r="O181" s="483">
        <f>'WK6 - Expenditure Program'!J62</f>
        <v>2197009.8895964487</v>
      </c>
      <c r="P181" s="483">
        <f>'WK6 - Expenditure Program'!K62</f>
        <v>2342150.7904929598</v>
      </c>
      <c r="Q181" s="483">
        <f>'WK6 - Expenditure Program'!L62</f>
        <v>2437185.2853199267</v>
      </c>
      <c r="R181" s="483">
        <f>'WK6 - Expenditure Program'!M62</f>
        <v>2479061.893947714</v>
      </c>
    </row>
    <row r="182" spans="2:19" x14ac:dyDescent="0.2">
      <c r="C182" s="742" t="s">
        <v>561</v>
      </c>
      <c r="D182" s="743"/>
      <c r="E182" s="743"/>
      <c r="F182" s="743"/>
      <c r="G182" s="743"/>
      <c r="H182" t="s">
        <v>667</v>
      </c>
      <c r="I182" s="483">
        <f>'WK6 - Expenditure Program'!D27</f>
        <v>420326.59287901653</v>
      </c>
      <c r="J182" s="483">
        <f>'WK6 - Expenditure Program'!E27</f>
        <v>478781.47011831088</v>
      </c>
      <c r="K182" s="483">
        <f>'WK6 - Expenditure Program'!F27</f>
        <v>540013.59440544655</v>
      </c>
      <c r="L182" s="483">
        <f>'WK6 - Expenditure Program'!G27</f>
        <v>604168.62043634988</v>
      </c>
      <c r="M182" s="483">
        <f>'WK6 - Expenditure Program'!H27</f>
        <v>671400.3688884587</v>
      </c>
      <c r="N182" s="483">
        <f>'WK6 - Expenditure Program'!I27</f>
        <v>741871.30259730853</v>
      </c>
      <c r="O182" s="483">
        <f>'WK6 - Expenditure Program'!J27</f>
        <v>815753.0310983049</v>
      </c>
      <c r="P182" s="483">
        <f>'WK6 - Expenditure Program'!K27</f>
        <v>893226.84524217283</v>
      </c>
      <c r="Q182" s="483">
        <f>'WK6 - Expenditure Program'!L27</f>
        <v>974484.28369587753</v>
      </c>
      <c r="R182" s="483">
        <f>'WK6 - Expenditure Program'!M27</f>
        <v>1059727.7332507423</v>
      </c>
      <c r="S182" s="483">
        <f>'WK6 - Expenditure Program'!N27</f>
        <v>7199753.842611989</v>
      </c>
    </row>
    <row r="183" spans="2:19" ht="12.75" x14ac:dyDescent="0.2">
      <c r="C183" s="478"/>
      <c r="D183" s="441"/>
      <c r="E183" s="441"/>
      <c r="F183" s="441"/>
      <c r="G183" s="441"/>
      <c r="H183" t="s">
        <v>668</v>
      </c>
      <c r="I183" s="483">
        <f>I182</f>
        <v>420326.59287901653</v>
      </c>
      <c r="J183" s="483">
        <f>SUM(I182:J182)</f>
        <v>899108.06299732742</v>
      </c>
      <c r="K183" s="483">
        <f>SUM(I182:K182)</f>
        <v>1439121.6574027739</v>
      </c>
      <c r="L183" s="483">
        <f>SUM(I182:L182)</f>
        <v>2043290.2778391237</v>
      </c>
      <c r="M183" s="483">
        <f>SUM(I182:M182)</f>
        <v>2714690.6467275824</v>
      </c>
      <c r="N183" s="483">
        <f>SUM(I182:N182)</f>
        <v>3456561.949324891</v>
      </c>
      <c r="O183" s="483">
        <f>SUM(I182:O182)</f>
        <v>4272314.9804231962</v>
      </c>
      <c r="P183" s="483">
        <f>SUM(I182:P182)</f>
        <v>5165541.8256653687</v>
      </c>
      <c r="Q183" s="483">
        <f>SUM(I182:Q182)</f>
        <v>6140026.1093612462</v>
      </c>
      <c r="R183" s="483">
        <f>SUM(I182:R182)</f>
        <v>7199753.842611989</v>
      </c>
    </row>
    <row r="184" spans="2:19" x14ac:dyDescent="0.2">
      <c r="C184" s="742" t="s">
        <v>558</v>
      </c>
      <c r="D184" s="743"/>
      <c r="E184" s="743"/>
      <c r="F184" s="743"/>
      <c r="G184" s="743"/>
      <c r="H184" t="s">
        <v>667</v>
      </c>
      <c r="I184" s="483">
        <f>'WK6 - Expenditure Program'!D80</f>
        <v>4500000</v>
      </c>
      <c r="J184" s="483">
        <f>'WK6 - Expenditure Program'!E80</f>
        <v>2700000</v>
      </c>
      <c r="K184" s="483">
        <f>'WK6 - Expenditure Program'!F80</f>
        <v>0</v>
      </c>
      <c r="L184" s="483">
        <f>'WK6 - Expenditure Program'!G80</f>
        <v>0</v>
      </c>
      <c r="M184" s="483">
        <f>'WK6 - Expenditure Program'!H80</f>
        <v>0</v>
      </c>
      <c r="N184" s="483">
        <f>'WK6 - Expenditure Program'!I80</f>
        <v>0</v>
      </c>
      <c r="O184" s="483">
        <f>'WK6 - Expenditure Program'!J80</f>
        <v>0</v>
      </c>
      <c r="P184" s="483">
        <f>'WK6 - Expenditure Program'!K80</f>
        <v>0</v>
      </c>
      <c r="Q184" s="483">
        <f>'WK6 - Expenditure Program'!L80</f>
        <v>0</v>
      </c>
      <c r="R184" s="483">
        <f>'WK6 - Expenditure Program'!M80</f>
        <v>0</v>
      </c>
      <c r="S184" s="483">
        <f>'WK6 - Expenditure Program'!N80</f>
        <v>7200000</v>
      </c>
    </row>
    <row r="185" spans="2:19" ht="12.75" x14ac:dyDescent="0.2">
      <c r="C185" s="478"/>
      <c r="D185" s="441"/>
      <c r="E185" s="441"/>
      <c r="F185" s="441"/>
      <c r="G185" s="441"/>
      <c r="H185" t="s">
        <v>668</v>
      </c>
      <c r="I185" s="483">
        <f>'WK6 - Expenditure Program'!D81</f>
        <v>4500000</v>
      </c>
      <c r="J185" s="483">
        <f>'WK6 - Expenditure Program'!E81</f>
        <v>7200000</v>
      </c>
      <c r="K185" s="483">
        <f>'WK6 - Expenditure Program'!F81</f>
        <v>7200000</v>
      </c>
      <c r="L185" s="483">
        <f>'WK6 - Expenditure Program'!G81</f>
        <v>7200000</v>
      </c>
      <c r="M185" s="483">
        <f>'WK6 - Expenditure Program'!H81</f>
        <v>7200000</v>
      </c>
      <c r="N185" s="483">
        <f>'WK6 - Expenditure Program'!I81</f>
        <v>7200000</v>
      </c>
      <c r="O185" s="483">
        <f>'WK6 - Expenditure Program'!J81</f>
        <v>7200000</v>
      </c>
      <c r="P185" s="483">
        <f>'WK6 - Expenditure Program'!N81</f>
        <v>0</v>
      </c>
      <c r="Q185" s="483">
        <f>'WK6 - Expenditure Program'!O81</f>
        <v>0</v>
      </c>
      <c r="R185" s="483">
        <f>'WK6 - Expenditure Program'!P81</f>
        <v>0</v>
      </c>
    </row>
    <row r="186" spans="2:19" x14ac:dyDescent="0.2">
      <c r="C186" s="742" t="s">
        <v>559</v>
      </c>
      <c r="D186" s="743"/>
      <c r="E186" s="743"/>
      <c r="F186" s="743"/>
      <c r="G186" s="743"/>
      <c r="H186" t="s">
        <v>667</v>
      </c>
      <c r="I186" s="483">
        <f>'WK6 - Expenditure Program'!D98</f>
        <v>-123618.1893566763</v>
      </c>
      <c r="J186" s="483">
        <f>'WK6 - Expenditure Program'!E98</f>
        <v>-98289.549355536234</v>
      </c>
      <c r="K186" s="483">
        <f>'WK6 - Expenditure Program'!F98</f>
        <v>-72201.05015435745</v>
      </c>
      <c r="L186" s="483">
        <f>'WK6 - Expenditure Program'!G98</f>
        <v>-45329.895977146225</v>
      </c>
      <c r="M186" s="483">
        <f>'WK6 - Expenditure Program'!H98</f>
        <v>-17652.607174619334</v>
      </c>
      <c r="N186" s="483">
        <f>'WK6 - Expenditure Program'!I98</f>
        <v>10855.000291988952</v>
      </c>
      <c r="O186" s="483">
        <f>'WK6 - Expenditure Program'!J98</f>
        <v>40217.835982591612</v>
      </c>
      <c r="P186" s="483">
        <f>'WK6 - Expenditure Program'!K98</f>
        <v>70461.556743912515</v>
      </c>
      <c r="Q186" s="483">
        <f>'WK6 - Expenditure Program'!L98</f>
        <v>101612.58912807307</v>
      </c>
      <c r="R186" s="483">
        <f>'WK6 - Expenditure Program'!M98</f>
        <v>133698.15248375852</v>
      </c>
      <c r="S186" s="483">
        <f>'WK6 - Expenditure Program'!N98</f>
        <v>-246.15738801087718</v>
      </c>
    </row>
    <row r="189" spans="2:19" ht="16.5" x14ac:dyDescent="0.3">
      <c r="B189" s="480" t="s">
        <v>562</v>
      </c>
      <c r="C189" s="479" t="s">
        <v>563</v>
      </c>
      <c r="I189" t="s">
        <v>797</v>
      </c>
      <c r="O189" s="183"/>
    </row>
    <row r="192" spans="2:19" ht="15" x14ac:dyDescent="0.25">
      <c r="B192" s="484" t="s">
        <v>564</v>
      </c>
      <c r="C192" s="484" t="s">
        <v>567</v>
      </c>
      <c r="D192" s="183"/>
      <c r="E192" s="183"/>
      <c r="F192" s="183"/>
      <c r="G192" s="183"/>
      <c r="H192" s="183"/>
      <c r="I192" s="183"/>
      <c r="J192" s="183"/>
    </row>
    <row r="193" spans="2:19" x14ac:dyDescent="0.2">
      <c r="O193" s="24"/>
    </row>
    <row r="194" spans="2:19" x14ac:dyDescent="0.2">
      <c r="I194" s="165" t="str">
        <f>I176</f>
        <v>2015/16</v>
      </c>
      <c r="J194" s="165" t="str">
        <f t="shared" ref="J194:S194" si="22">J176</f>
        <v>2016/17</v>
      </c>
      <c r="K194" s="165" t="str">
        <f t="shared" si="22"/>
        <v>2017/18</v>
      </c>
      <c r="L194" s="165" t="str">
        <f t="shared" si="22"/>
        <v>2018/19</v>
      </c>
      <c r="M194" s="165" t="str">
        <f t="shared" si="22"/>
        <v>2019/20</v>
      </c>
      <c r="N194" s="165" t="str">
        <f t="shared" si="22"/>
        <v>2020/21</v>
      </c>
      <c r="O194" s="165" t="str">
        <f t="shared" si="22"/>
        <v>2021/22</v>
      </c>
      <c r="P194" s="165" t="str">
        <f t="shared" si="22"/>
        <v>2022/23</v>
      </c>
      <c r="Q194" s="165" t="str">
        <f t="shared" si="22"/>
        <v>2023/24</v>
      </c>
      <c r="R194" s="165" t="str">
        <f t="shared" si="22"/>
        <v>2024/25</v>
      </c>
      <c r="S194" s="165" t="str">
        <f t="shared" si="22"/>
        <v>Sum of 10 years</v>
      </c>
    </row>
    <row r="195" spans="2:19" x14ac:dyDescent="0.2">
      <c r="C195" s="742" t="s">
        <v>565</v>
      </c>
      <c r="D195" s="743"/>
      <c r="E195" s="743"/>
      <c r="F195" s="743"/>
      <c r="G195" s="743"/>
      <c r="I195" s="483">
        <f>'WK7 - Long Term Financial Plan'!E34</f>
        <v>199029.22137496001</v>
      </c>
      <c r="J195" s="483">
        <f>'WK7 - Long Term Financial Plan'!F34</f>
        <v>207396.00466738761</v>
      </c>
      <c r="K195" s="483">
        <f>'WK7 - Long Term Financial Plan'!G34</f>
        <v>214791.71447670038</v>
      </c>
      <c r="L195" s="483">
        <f>'WK7 - Long Term Financial Plan'!H34</f>
        <v>222706.87111105717</v>
      </c>
      <c r="M195" s="483">
        <f>'WK7 - Long Term Financial Plan'!I34</f>
        <v>229381.65325979568</v>
      </c>
      <c r="N195" s="483">
        <f>'WK7 - Long Term Financial Plan'!J34</f>
        <v>237726.53988055469</v>
      </c>
      <c r="O195" s="483">
        <f>'WK7 - Long Term Financial Plan'!K34</f>
        <v>246102.83134135301</v>
      </c>
      <c r="P195" s="483">
        <f>'WK7 - Long Term Financial Plan'!L34</f>
        <v>254612.81338626295</v>
      </c>
      <c r="Q195" s="483">
        <f>'WK7 - Long Term Financial Plan'!M34</f>
        <v>265575.61052776064</v>
      </c>
      <c r="R195" s="483">
        <f>'WK7 - Long Term Financial Plan'!N34</f>
        <v>273542.87827359344</v>
      </c>
      <c r="S195" s="483">
        <f>'WK7 - Long Term Financial Plan'!O34</f>
        <v>2350866.1382994251</v>
      </c>
    </row>
    <row r="196" spans="2:19" ht="12.75" x14ac:dyDescent="0.2">
      <c r="C196" s="478"/>
      <c r="D196" s="441"/>
      <c r="E196" s="441"/>
      <c r="F196" s="441"/>
      <c r="G196" s="441"/>
      <c r="O196" s="24"/>
    </row>
    <row r="197" spans="2:19" x14ac:dyDescent="0.2">
      <c r="C197" s="742" t="s">
        <v>566</v>
      </c>
      <c r="D197" s="743"/>
      <c r="E197" s="743"/>
      <c r="F197" s="743"/>
      <c r="G197" s="743"/>
      <c r="I197" s="483">
        <f>'WK7 - Long Term Financial Plan'!E45</f>
        <v>206364.62332198149</v>
      </c>
      <c r="J197" s="483">
        <f>'WK7 - Long Term Financial Plan'!F45</f>
        <v>215701.64321140817</v>
      </c>
      <c r="K197" s="483">
        <f>'WK7 - Long Term Financial Plan'!G45</f>
        <v>223351.12988164506</v>
      </c>
      <c r="L197" s="483">
        <f>'WK7 - Long Term Financial Plan'!H45</f>
        <v>231396.2773425756</v>
      </c>
      <c r="M197" s="483">
        <f>'WK7 - Long Term Financial Plan'!I45</f>
        <v>239478.9739607196</v>
      </c>
      <c r="N197" s="483">
        <f>'WK7 - Long Term Financial Plan'!J45</f>
        <v>247790.41473133775</v>
      </c>
      <c r="O197" s="483">
        <f>'WK7 - Long Term Financial Plan'!K45</f>
        <v>255084.68040261202</v>
      </c>
      <c r="P197" s="483">
        <f>'WK7 - Long Term Financial Plan'!L45</f>
        <v>262659.20214542618</v>
      </c>
      <c r="Q197" s="483">
        <f>'WK7 - Long Term Financial Plan'!M45</f>
        <v>268959.74612576637</v>
      </c>
      <c r="R197" s="483">
        <f>'WK7 - Long Term Financial Plan'!N45</f>
        <v>276970.04048953939</v>
      </c>
      <c r="S197" s="483">
        <f>'WK7 - Long Term Financial Plan'!O45</f>
        <v>2427756.731613012</v>
      </c>
    </row>
    <row r="198" spans="2:19" ht="12.75" x14ac:dyDescent="0.2">
      <c r="C198" s="478"/>
      <c r="D198" s="441"/>
      <c r="E198" s="441"/>
      <c r="F198" s="441"/>
      <c r="G198" s="441"/>
      <c r="O198" s="24"/>
    </row>
    <row r="199" spans="2:19" ht="12" customHeight="1" x14ac:dyDescent="0.2">
      <c r="C199" s="643" t="s">
        <v>609</v>
      </c>
      <c r="D199" s="615"/>
      <c r="E199" s="615"/>
      <c r="F199" s="615"/>
      <c r="G199" s="615"/>
    </row>
    <row r="200" spans="2:19" x14ac:dyDescent="0.2">
      <c r="C200" s="615" t="s">
        <v>850</v>
      </c>
      <c r="D200" s="615"/>
      <c r="E200" s="615"/>
      <c r="F200" s="615"/>
      <c r="G200" s="615"/>
      <c r="I200" s="483">
        <f>'WK7 - Long Term Financial Plan'!E46</f>
        <v>-7335.4019470214844</v>
      </c>
      <c r="J200" s="483">
        <f>'WK7 - Long Term Financial Plan'!F46</f>
        <v>-8305.6385440205631</v>
      </c>
      <c r="K200" s="483">
        <f>'WK7 - Long Term Financial Plan'!G46</f>
        <v>-8559.4154049446806</v>
      </c>
      <c r="L200" s="483">
        <f>'WK7 - Long Term Financial Plan'!H46</f>
        <v>-8689.4062315184274</v>
      </c>
      <c r="M200" s="483">
        <f>'WK7 - Long Term Financial Plan'!I46</f>
        <v>-10097.320700923912</v>
      </c>
      <c r="N200" s="483">
        <f>'WK7 - Long Term Financial Plan'!J46</f>
        <v>-10063.874850783061</v>
      </c>
      <c r="O200" s="483">
        <f>'WK7 - Long Term Financial Plan'!K46</f>
        <v>-8981.8490612590103</v>
      </c>
      <c r="P200" s="483">
        <f>'WK7 - Long Term Financial Plan'!L46</f>
        <v>-8046.3887591632374</v>
      </c>
      <c r="Q200" s="483">
        <f>'WK7 - Long Term Financial Plan'!M46</f>
        <v>-3384.1355980057269</v>
      </c>
      <c r="R200" s="483">
        <f>'WK7 - Long Term Financial Plan'!N46</f>
        <v>-3427.1622159459512</v>
      </c>
      <c r="S200" s="483">
        <f>'WK7 - Long Term Financial Plan'!O46</f>
        <v>-76890.593313586054</v>
      </c>
    </row>
    <row r="201" spans="2:19" x14ac:dyDescent="0.2">
      <c r="O201" s="24"/>
    </row>
    <row r="202" spans="2:19" ht="12" customHeight="1" x14ac:dyDescent="0.2">
      <c r="C202" s="643" t="s">
        <v>848</v>
      </c>
      <c r="D202" s="615"/>
      <c r="E202" s="615"/>
      <c r="F202" s="615"/>
      <c r="G202" s="615"/>
    </row>
    <row r="203" spans="2:19" x14ac:dyDescent="0.2">
      <c r="C203" s="615" t="s">
        <v>849</v>
      </c>
      <c r="D203" s="615"/>
      <c r="E203" s="615"/>
      <c r="F203" s="615"/>
      <c r="G203" s="615"/>
      <c r="I203" s="483">
        <f>'WK7 - Long Term Financial Plan'!E47</f>
        <v>-11242.027947021474</v>
      </c>
      <c r="J203" s="483">
        <f>'WK7 - Long Term Financial Plan'!F47</f>
        <v>-12268.135544020566</v>
      </c>
      <c r="K203" s="483">
        <f>'WK7 - Long Term Financial Plan'!G47</f>
        <v>-12580.249404944683</v>
      </c>
      <c r="L203" s="483">
        <f>'WK7 - Long Term Financial Plan'!H47</f>
        <v>-12769.089231518446</v>
      </c>
      <c r="M203" s="483">
        <f>'WK7 - Long Term Financial Plan'!I47</f>
        <v>-12802.811700923921</v>
      </c>
      <c r="N203" s="483">
        <f>'WK7 - Long Term Financial Plan'!J47</f>
        <v>-12912.531850783067</v>
      </c>
      <c r="O203" s="483">
        <f>'WK7 - Long Term Financial Plan'!K47</f>
        <v>-11815.999061259005</v>
      </c>
      <c r="P203" s="483">
        <f>'WK7 - Long Term Financial Plan'!L47</f>
        <v>-10947.893759163242</v>
      </c>
      <c r="Q203" s="483">
        <f>'WK7 - Long Term Financial Plan'!M47</f>
        <v>-6314.6756480057375</v>
      </c>
      <c r="R203" s="483">
        <f>'WK7 - Long Term Financial Plan'!N47</f>
        <v>-6445.618467445951</v>
      </c>
      <c r="S203" s="483">
        <f>'WK7 - Long Term Financial Plan'!O47</f>
        <v>-110099.03261508609</v>
      </c>
    </row>
    <row r="204" spans="2:19" x14ac:dyDescent="0.2">
      <c r="O204" s="2"/>
    </row>
    <row r="206" spans="2:19" ht="19.5" x14ac:dyDescent="0.2">
      <c r="B206" s="481" t="s">
        <v>568</v>
      </c>
    </row>
    <row r="208" spans="2:19" x14ac:dyDescent="0.2">
      <c r="C208" t="s">
        <v>569</v>
      </c>
    </row>
    <row r="211" spans="2:16" ht="19.5" x14ac:dyDescent="0.2">
      <c r="B211" s="481" t="s">
        <v>570</v>
      </c>
    </row>
    <row r="213" spans="2:16" x14ac:dyDescent="0.2">
      <c r="C213" t="s">
        <v>571</v>
      </c>
      <c r="I213" t="s">
        <v>586</v>
      </c>
      <c r="P213" s="549"/>
    </row>
    <row r="214" spans="2:16" x14ac:dyDescent="0.2">
      <c r="P214" s="24"/>
    </row>
    <row r="215" spans="2:16" x14ac:dyDescent="0.2">
      <c r="C215" t="s">
        <v>572</v>
      </c>
      <c r="I215" t="s">
        <v>586</v>
      </c>
      <c r="P215" s="549"/>
    </row>
    <row r="216" spans="2:16" x14ac:dyDescent="0.2">
      <c r="P216" s="24"/>
    </row>
    <row r="217" spans="2:16" x14ac:dyDescent="0.2">
      <c r="C217" t="s">
        <v>573</v>
      </c>
      <c r="I217" t="s">
        <v>586</v>
      </c>
      <c r="P217" s="549"/>
    </row>
    <row r="218" spans="2:16" x14ac:dyDescent="0.2">
      <c r="P218" s="549"/>
    </row>
    <row r="219" spans="2:16" ht="12.75" x14ac:dyDescent="0.2">
      <c r="I219" s="608" t="s">
        <v>24</v>
      </c>
      <c r="J219" s="1"/>
      <c r="K219" s="1"/>
      <c r="L219" s="1"/>
      <c r="M219" s="1"/>
      <c r="N219" s="1"/>
      <c r="O219" s="1"/>
      <c r="P219" s="1"/>
    </row>
    <row r="220" spans="2:16" ht="12.75" x14ac:dyDescent="0.2">
      <c r="C220" t="s">
        <v>574</v>
      </c>
      <c r="I220" s="612">
        <f>'WK1 - Identification'!F84</f>
        <v>844288.00003809482</v>
      </c>
      <c r="J220" s="1"/>
      <c r="K220" s="1"/>
      <c r="L220" s="1"/>
      <c r="M220" s="1"/>
      <c r="N220" s="1"/>
      <c r="O220" s="1"/>
    </row>
    <row r="221" spans="2:16" ht="12.75" x14ac:dyDescent="0.2">
      <c r="I221" s="608" t="s">
        <v>24</v>
      </c>
      <c r="J221" s="608" t="s">
        <v>26</v>
      </c>
      <c r="K221" s="608" t="s">
        <v>29</v>
      </c>
      <c r="L221" s="608" t="s">
        <v>31</v>
      </c>
      <c r="M221" s="608" t="s">
        <v>33</v>
      </c>
      <c r="N221" s="608" t="s">
        <v>35</v>
      </c>
      <c r="O221" s="608" t="s">
        <v>37</v>
      </c>
    </row>
    <row r="222" spans="2:16" x14ac:dyDescent="0.2">
      <c r="C222" t="s">
        <v>575</v>
      </c>
      <c r="I222" s="612">
        <f>'WK1 - Identification'!F84</f>
        <v>844288.00003809482</v>
      </c>
      <c r="J222" s="613">
        <f>'WK1 - Identification'!F85</f>
        <v>1713904.6400773227</v>
      </c>
      <c r="K222" s="613">
        <f>'WK1 - Identification'!F86</f>
        <v>2609609.7793177366</v>
      </c>
      <c r="L222" s="613">
        <f>'WK1 - Identification'!F87</f>
        <v>3532186.0727353692</v>
      </c>
      <c r="M222" s="613">
        <f>'WK1 - Identification'!F88</f>
        <v>4482439.6549555063</v>
      </c>
      <c r="N222" s="613">
        <f>'WK1 - Identification'!F89</f>
        <v>5461200.8446422815</v>
      </c>
      <c r="O222" s="613">
        <f>'WK1 - Identification'!F90</f>
        <v>6469324.8700196743</v>
      </c>
    </row>
    <row r="223" spans="2:16" x14ac:dyDescent="0.2">
      <c r="I223" s="549"/>
      <c r="J223" s="2"/>
      <c r="K223" s="2"/>
      <c r="L223" s="2"/>
      <c r="M223" s="2"/>
      <c r="N223" s="2"/>
      <c r="O223" s="2"/>
    </row>
    <row r="224" spans="2:16" x14ac:dyDescent="0.2">
      <c r="C224" t="s">
        <v>576</v>
      </c>
      <c r="I224" s="2"/>
      <c r="J224" s="2"/>
      <c r="K224" s="2"/>
      <c r="L224" s="2"/>
      <c r="M224" s="2"/>
      <c r="N224" s="549"/>
      <c r="O224" s="2"/>
    </row>
    <row r="225" spans="2:16" x14ac:dyDescent="0.2">
      <c r="H225" t="s">
        <v>304</v>
      </c>
      <c r="I225" s="550">
        <f>I127</f>
        <v>32.184253275418541</v>
      </c>
      <c r="J225" s="550">
        <f t="shared" ref="J225:O225" si="23">J127</f>
        <v>61.759650155715349</v>
      </c>
      <c r="K225" s="550">
        <f t="shared" si="23"/>
        <v>92.222308942420796</v>
      </c>
      <c r="L225" s="550">
        <f t="shared" si="23"/>
        <v>123.5988474927276</v>
      </c>
      <c r="M225" s="550">
        <f t="shared" si="23"/>
        <v>155.91668219954386</v>
      </c>
      <c r="N225" s="550">
        <f t="shared" si="23"/>
        <v>189.20405194756427</v>
      </c>
      <c r="O225" s="550">
        <f t="shared" si="23"/>
        <v>223.49004278802545</v>
      </c>
    </row>
    <row r="226" spans="2:16" x14ac:dyDescent="0.2">
      <c r="H226" t="s">
        <v>306</v>
      </c>
      <c r="I226" s="550">
        <f>I133</f>
        <v>142.04198554913455</v>
      </c>
      <c r="J226" s="550">
        <f t="shared" ref="J226:O226" si="24">J133</f>
        <v>208.18965947130664</v>
      </c>
      <c r="K226" s="550">
        <f t="shared" si="24"/>
        <v>276.32176361114489</v>
      </c>
      <c r="L226" s="550">
        <f t="shared" si="24"/>
        <v>346.49783087517653</v>
      </c>
      <c r="M226" s="550">
        <f t="shared" si="24"/>
        <v>418.77918015713158</v>
      </c>
      <c r="N226" s="550">
        <f t="shared" si="24"/>
        <v>493.22896991754351</v>
      </c>
      <c r="O226" s="550">
        <f t="shared" si="24"/>
        <v>569.91225337076776</v>
      </c>
    </row>
    <row r="227" spans="2:16" x14ac:dyDescent="0.2">
      <c r="H227" t="s">
        <v>302</v>
      </c>
      <c r="I227" s="550">
        <f>I139</f>
        <v>54.089317530113931</v>
      </c>
      <c r="J227" s="550">
        <f t="shared" ref="J227:O227" si="25">J139</f>
        <v>113.20475025611995</v>
      </c>
      <c r="K227" s="550">
        <f t="shared" si="25"/>
        <v>174.09364596390674</v>
      </c>
      <c r="L227" s="550">
        <f t="shared" si="25"/>
        <v>236.80920854292685</v>
      </c>
      <c r="M227" s="550">
        <f t="shared" si="25"/>
        <v>301.40623799931768</v>
      </c>
      <c r="N227" s="550">
        <f t="shared" si="25"/>
        <v>367.94117833940004</v>
      </c>
      <c r="O227" s="550">
        <f t="shared" si="25"/>
        <v>436.47216688968433</v>
      </c>
    </row>
    <row r="228" spans="2:16" x14ac:dyDescent="0.2">
      <c r="H228" t="s">
        <v>305</v>
      </c>
      <c r="I228" s="550" t="str">
        <f>I145</f>
        <v/>
      </c>
      <c r="J228" s="550" t="e">
        <f t="shared" ref="J228:O228" si="26">J145</f>
        <v>#DIV/0!</v>
      </c>
      <c r="K228" s="550" t="e">
        <f t="shared" si="26"/>
        <v>#DIV/0!</v>
      </c>
      <c r="L228" s="550" t="e">
        <f t="shared" si="26"/>
        <v>#DIV/0!</v>
      </c>
      <c r="M228" s="550" t="e">
        <f t="shared" si="26"/>
        <v>#DIV/0!</v>
      </c>
      <c r="N228" s="550" t="e">
        <f t="shared" si="26"/>
        <v>#DIV/0!</v>
      </c>
      <c r="O228" s="550" t="e">
        <f t="shared" si="26"/>
        <v>#DIV/0!</v>
      </c>
    </row>
    <row r="229" spans="2:16" x14ac:dyDescent="0.2">
      <c r="I229" s="2"/>
      <c r="J229" s="2"/>
      <c r="K229" s="2"/>
      <c r="L229" s="2"/>
      <c r="M229" s="2"/>
      <c r="N229" s="2"/>
      <c r="O229" s="2"/>
    </row>
    <row r="230" spans="2:16" x14ac:dyDescent="0.2">
      <c r="C230" t="s">
        <v>577</v>
      </c>
      <c r="I230" s="2"/>
      <c r="J230" s="2"/>
      <c r="K230" s="2"/>
      <c r="L230" s="2"/>
      <c r="M230" s="2"/>
      <c r="N230" s="24"/>
      <c r="O230" s="549"/>
      <c r="P230" s="183"/>
    </row>
    <row r="231" spans="2:16" x14ac:dyDescent="0.2">
      <c r="I231" s="2"/>
      <c r="J231" s="2"/>
      <c r="K231" s="2"/>
      <c r="L231" s="2"/>
      <c r="M231" s="2"/>
      <c r="N231" s="24"/>
      <c r="O231" s="24"/>
      <c r="P231" s="183"/>
    </row>
    <row r="232" spans="2:16" x14ac:dyDescent="0.2">
      <c r="C232" t="s">
        <v>578</v>
      </c>
      <c r="I232" s="2"/>
      <c r="J232" s="2"/>
      <c r="K232" s="2"/>
      <c r="L232" s="2"/>
      <c r="M232" s="2"/>
      <c r="N232" s="549"/>
      <c r="O232" s="24"/>
      <c r="P232" s="183"/>
    </row>
    <row r="234" spans="2:16" ht="19.5" x14ac:dyDescent="0.2">
      <c r="B234" s="481" t="s">
        <v>579</v>
      </c>
    </row>
    <row r="235" spans="2:16" ht="12.75" x14ac:dyDescent="0.2">
      <c r="I235" s="608" t="str">
        <f>I111</f>
        <v>2015/16</v>
      </c>
      <c r="J235" s="608" t="str">
        <f t="shared" ref="J235:O235" si="27">J111</f>
        <v>2016/17</v>
      </c>
      <c r="K235" s="608" t="str">
        <f t="shared" si="27"/>
        <v>2017/18</v>
      </c>
      <c r="L235" s="608" t="str">
        <f t="shared" si="27"/>
        <v>2018/19</v>
      </c>
      <c r="M235" s="608" t="str">
        <f t="shared" si="27"/>
        <v>2019/20</v>
      </c>
      <c r="N235" s="608" t="str">
        <f t="shared" si="27"/>
        <v>2020/21</v>
      </c>
      <c r="O235" s="608" t="str">
        <f t="shared" si="27"/>
        <v>2021/22</v>
      </c>
    </row>
    <row r="236" spans="2:16" x14ac:dyDescent="0.2">
      <c r="C236" t="s">
        <v>580</v>
      </c>
      <c r="I236" t="s">
        <v>587</v>
      </c>
      <c r="P236" s="573"/>
    </row>
    <row r="237" spans="2:16" x14ac:dyDescent="0.2">
      <c r="P237" s="572"/>
    </row>
    <row r="238" spans="2:16" x14ac:dyDescent="0.2">
      <c r="C238" t="s">
        <v>581</v>
      </c>
      <c r="I238" s="475">
        <f>'WK1 - Identification'!D45</f>
        <v>3.8885007609247395E-2</v>
      </c>
      <c r="J238" s="475">
        <f>IF('WK1 - Identification'!D46="","",'WK1 - Identification'!D46)</f>
        <v>0.03</v>
      </c>
      <c r="K238" s="475">
        <f>IF('WK1 - Identification'!D47="","",'WK1 - Identification'!D47)</f>
        <v>0.03</v>
      </c>
      <c r="L238" s="475">
        <f>IF('WK1 - Identification'!D48="","",'WK1 - Identification'!D48)</f>
        <v>0.03</v>
      </c>
      <c r="M238" s="475">
        <f>IF('WK1 - Identification'!D49="","",'WK1 - Identification'!D49)</f>
        <v>0.03</v>
      </c>
      <c r="N238" s="475">
        <f>IF('WK1 - Identification'!D50="","",'WK1 - Identification'!D50)</f>
        <v>0.03</v>
      </c>
      <c r="O238" s="475">
        <f>IF('WK1 - Identification'!D50="","",'WK1 - Identification'!D50)</f>
        <v>0.03</v>
      </c>
      <c r="P238" s="572"/>
    </row>
    <row r="239" spans="2:16" x14ac:dyDescent="0.2">
      <c r="P239" s="572"/>
    </row>
    <row r="240" spans="2:16" x14ac:dyDescent="0.2">
      <c r="C240" t="s">
        <v>582</v>
      </c>
      <c r="I240" t="s">
        <v>587</v>
      </c>
      <c r="P240" s="573"/>
    </row>
    <row r="241" spans="2:16" x14ac:dyDescent="0.2">
      <c r="P241" s="573"/>
    </row>
    <row r="242" spans="2:16" ht="12.75" x14ac:dyDescent="0.2">
      <c r="I242" s="608" t="str">
        <f>I235</f>
        <v>2015/16</v>
      </c>
      <c r="J242" s="608" t="str">
        <f t="shared" ref="J242:O242" si="28">J235</f>
        <v>2016/17</v>
      </c>
      <c r="K242" s="608" t="str">
        <f t="shared" si="28"/>
        <v>2017/18</v>
      </c>
      <c r="L242" s="608" t="str">
        <f t="shared" si="28"/>
        <v>2018/19</v>
      </c>
      <c r="M242" s="608" t="str">
        <f t="shared" si="28"/>
        <v>2019/20</v>
      </c>
      <c r="N242" s="608" t="str">
        <f t="shared" si="28"/>
        <v>2020/21</v>
      </c>
      <c r="O242" s="608" t="str">
        <f t="shared" si="28"/>
        <v>2021/22</v>
      </c>
    </row>
    <row r="243" spans="2:16" x14ac:dyDescent="0.2">
      <c r="C243" t="s">
        <v>583</v>
      </c>
      <c r="I243" s="475">
        <f>'WK1 - Identification'!F45</f>
        <v>3.8885007609247395E-2</v>
      </c>
      <c r="J243" s="475">
        <f>IF('WK1 - Identification'!F46="","",'WK1 - Identification'!F46)</f>
        <v>7.0051557837524814E-2</v>
      </c>
      <c r="K243" s="475">
        <f>IF('WK1 - Identification'!F47="","",'WK1 - Identification'!F47)</f>
        <v>0.10215310457265056</v>
      </c>
      <c r="L243" s="475">
        <f>IF('WK1 - Identification'!F48="","",'WK1 - Identification'!F48)</f>
        <v>0.13521769770983008</v>
      </c>
      <c r="M243" s="475">
        <f>IF('WK1 - Identification'!F49="","",'WK1 - Identification'!F49)</f>
        <v>0.16927422864112499</v>
      </c>
      <c r="N243" s="475">
        <f>IF('WK1 - Identification'!F50="","",'WK1 - Identification'!F50)</f>
        <v>0.20435245550035874</v>
      </c>
      <c r="O243" s="475">
        <f>IF('WK1 - Identification'!F51="","",'WK1 - Identification'!F51)</f>
        <v>0.24048302916536951</v>
      </c>
    </row>
    <row r="245" spans="2:16" ht="19.5" x14ac:dyDescent="0.2">
      <c r="B245" s="481" t="s">
        <v>584</v>
      </c>
    </row>
    <row r="246" spans="2:16" ht="12.75" x14ac:dyDescent="0.2">
      <c r="I246" s="608" t="str">
        <f>I242</f>
        <v>2015/16</v>
      </c>
      <c r="J246" s="1"/>
      <c r="K246" s="1"/>
      <c r="L246" s="1"/>
      <c r="M246" s="1"/>
      <c r="N246" s="1"/>
      <c r="O246" s="1"/>
    </row>
    <row r="247" spans="2:16" x14ac:dyDescent="0.2">
      <c r="C247" t="s">
        <v>588</v>
      </c>
      <c r="I247" s="616">
        <f>'WK5a - Impact on Rates'!N88/52</f>
        <v>0.61892794760420267</v>
      </c>
      <c r="J247" s="571"/>
    </row>
    <row r="248" spans="2:16" x14ac:dyDescent="0.2">
      <c r="I248" s="609" t="s">
        <v>622</v>
      </c>
      <c r="J248" s="618" t="s">
        <v>343</v>
      </c>
      <c r="K248" s="618" t="s">
        <v>344</v>
      </c>
      <c r="L248" s="618" t="s">
        <v>345</v>
      </c>
      <c r="M248" s="618" t="s">
        <v>346</v>
      </c>
      <c r="N248" s="618" t="s">
        <v>347</v>
      </c>
      <c r="O248" s="618" t="s">
        <v>348</v>
      </c>
    </row>
    <row r="249" spans="2:16" x14ac:dyDescent="0.2">
      <c r="C249" t="s">
        <v>585</v>
      </c>
      <c r="I249" s="475">
        <f>I18</f>
        <v>3.8885007609247395E-2</v>
      </c>
      <c r="J249" s="617">
        <f>IF(J20="","",((1+J20)^(1/2))-1)</f>
        <v>3.443296440007404E-2</v>
      </c>
      <c r="K249" s="617">
        <f>IF(K20="","",((1+K20)^(1/3))-1)</f>
        <v>3.2953193777149448E-2</v>
      </c>
      <c r="L249" s="617">
        <f>IF(L20="","",((1+L20)^(1/4))-1)</f>
        <v>3.2214102467155836E-2</v>
      </c>
      <c r="M249" s="617">
        <f>IF(M20="","",((1+M20)^(1/5))-1)</f>
        <v>3.1770901543469732E-2</v>
      </c>
      <c r="N249" s="617">
        <f>IF(N20="","",((1+N20)^(1/6))-1)</f>
        <v>3.1475539986510759E-2</v>
      </c>
      <c r="O249" s="617">
        <f>IF(O20="","",((1+O20)^(1/7))-1)</f>
        <v>3.1264619213860589E-2</v>
      </c>
    </row>
    <row r="253" spans="2:16" x14ac:dyDescent="0.2">
      <c r="J253" s="487"/>
    </row>
  </sheetData>
  <mergeCells count="10">
    <mergeCell ref="C195:G195"/>
    <mergeCell ref="C180:G180"/>
    <mergeCell ref="B14:H16"/>
    <mergeCell ref="B41:H41"/>
    <mergeCell ref="C197:G197"/>
    <mergeCell ref="B67:H68"/>
    <mergeCell ref="C182:G182"/>
    <mergeCell ref="C184:G184"/>
    <mergeCell ref="C186:G186"/>
    <mergeCell ref="B89:G9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52"/>
  <sheetViews>
    <sheetView showGridLines="0" topLeftCell="A27" zoomScaleNormal="100" zoomScaleSheetLayoutView="70" workbookViewId="0">
      <selection activeCell="C26" sqref="C25:N26"/>
    </sheetView>
  </sheetViews>
  <sheetFormatPr defaultRowHeight="12" x14ac:dyDescent="0.2"/>
  <cols>
    <col min="1" max="1" width="1.5703125" customWidth="1"/>
    <col min="2" max="2" width="4.140625" customWidth="1"/>
    <col min="3" max="3" width="9.5703125" customWidth="1"/>
    <col min="4" max="4" width="14.85546875" customWidth="1"/>
    <col min="5" max="5" width="14.140625" customWidth="1"/>
    <col min="6" max="6" width="13.140625" customWidth="1"/>
    <col min="7" max="7" width="14.28515625" customWidth="1"/>
    <col min="8" max="8" width="13.7109375" customWidth="1"/>
    <col min="9" max="10" width="15.42578125" customWidth="1"/>
    <col min="11" max="11" width="13.140625" customWidth="1"/>
    <col min="12" max="12" width="16.140625" customWidth="1"/>
    <col min="13" max="13" width="17.42578125" customWidth="1"/>
    <col min="14" max="14" width="21.140625" customWidth="1"/>
    <col min="15" max="15" width="16.5703125" customWidth="1"/>
    <col min="16" max="16" width="15.85546875" customWidth="1"/>
    <col min="17" max="17" width="15.140625" customWidth="1"/>
    <col min="18" max="18" width="15.42578125" bestFit="1" customWidth="1"/>
    <col min="19" max="19" width="15.42578125" style="164" customWidth="1"/>
    <col min="20" max="20" width="13.28515625" style="164" customWidth="1"/>
    <col min="21" max="26" width="9.140625" style="164" customWidth="1"/>
    <col min="27" max="28" width="9.5703125" style="164" bestFit="1" customWidth="1"/>
    <col min="29" max="30" width="9.140625" style="164" customWidth="1"/>
  </cols>
  <sheetData>
    <row r="1" spans="1:30" ht="6" customHeight="1" x14ac:dyDescent="0.2">
      <c r="A1" s="30"/>
      <c r="B1" s="32"/>
      <c r="C1" s="32"/>
      <c r="D1" s="32"/>
      <c r="E1" s="32"/>
      <c r="F1" s="32"/>
      <c r="G1" s="32"/>
      <c r="H1" s="32"/>
      <c r="I1" s="32"/>
      <c r="J1" s="32"/>
      <c r="K1" s="32"/>
      <c r="L1" s="32"/>
      <c r="M1" s="32"/>
      <c r="N1" s="32"/>
      <c r="O1" s="32"/>
      <c r="P1" s="32"/>
      <c r="Q1" s="71"/>
      <c r="R1" s="167"/>
      <c r="S1" s="167"/>
      <c r="T1"/>
      <c r="U1" s="163"/>
      <c r="V1" s="163"/>
      <c r="W1" s="163"/>
      <c r="X1" s="163"/>
      <c r="Y1" s="163"/>
      <c r="Z1" s="163"/>
      <c r="AA1" s="163"/>
      <c r="AB1" s="163"/>
      <c r="AC1" s="163"/>
      <c r="AD1" s="163"/>
    </row>
    <row r="2" spans="1:30" ht="22.5" customHeight="1" x14ac:dyDescent="0.5">
      <c r="A2" s="36"/>
      <c r="B2" s="38"/>
      <c r="C2" s="103"/>
      <c r="D2" s="103"/>
      <c r="E2" s="381"/>
      <c r="F2" s="381"/>
      <c r="G2" s="381" t="s">
        <v>851</v>
      </c>
      <c r="H2" s="382"/>
      <c r="I2" s="382"/>
      <c r="J2" s="382"/>
      <c r="K2" s="382"/>
      <c r="L2" s="382"/>
      <c r="M2" s="382"/>
      <c r="N2" s="382"/>
      <c r="O2" s="382"/>
      <c r="P2" s="382"/>
      <c r="Q2" s="168"/>
      <c r="R2" s="167"/>
      <c r="S2" s="167"/>
      <c r="T2"/>
      <c r="U2" s="163"/>
      <c r="V2" s="163"/>
      <c r="W2" s="163"/>
      <c r="X2" s="163"/>
      <c r="Y2" s="163"/>
      <c r="Z2" s="163"/>
      <c r="AA2" s="163"/>
      <c r="AB2" s="163"/>
      <c r="AC2" s="163"/>
      <c r="AD2" s="163"/>
    </row>
    <row r="3" spans="1:30" ht="27.75" customHeight="1" x14ac:dyDescent="0.4">
      <c r="A3" s="36"/>
      <c r="B3" s="38"/>
      <c r="C3" s="103"/>
      <c r="D3" s="103"/>
      <c r="E3" s="38"/>
      <c r="F3" s="386"/>
      <c r="G3" s="38"/>
      <c r="H3" s="38"/>
      <c r="I3" s="38"/>
      <c r="J3" s="38"/>
      <c r="K3" s="38"/>
      <c r="L3" s="38"/>
      <c r="M3" s="38"/>
      <c r="N3" s="38"/>
      <c r="O3" s="749" t="s">
        <v>25</v>
      </c>
      <c r="P3" s="750"/>
      <c r="Q3" s="45"/>
      <c r="R3" s="167"/>
      <c r="S3" s="167"/>
      <c r="T3"/>
      <c r="U3" s="163"/>
      <c r="V3" s="163"/>
      <c r="W3" s="163"/>
      <c r="X3" s="163"/>
      <c r="Y3" s="163"/>
      <c r="Z3" s="163"/>
      <c r="AA3" s="163"/>
      <c r="AB3" s="163"/>
      <c r="AC3" s="163"/>
      <c r="AD3" s="163"/>
    </row>
    <row r="4" spans="1:30" ht="38.25" customHeight="1" x14ac:dyDescent="0.5">
      <c r="A4" s="36"/>
      <c r="B4" s="38"/>
      <c r="C4" s="161"/>
      <c r="D4" s="751" t="s">
        <v>405</v>
      </c>
      <c r="E4" s="752"/>
      <c r="F4" s="752"/>
      <c r="G4" s="752"/>
      <c r="H4" s="752"/>
      <c r="I4" s="752"/>
      <c r="J4" s="752"/>
      <c r="K4" s="752"/>
      <c r="L4" s="752"/>
      <c r="M4" s="752"/>
      <c r="N4" s="752"/>
      <c r="O4" s="752"/>
      <c r="P4" s="38"/>
      <c r="Q4" s="45"/>
      <c r="R4" s="167"/>
      <c r="S4" s="167"/>
      <c r="T4"/>
      <c r="U4" s="163"/>
      <c r="V4" s="163"/>
      <c r="W4" s="163"/>
      <c r="X4" s="163"/>
      <c r="Y4" s="163"/>
      <c r="Z4" s="163"/>
      <c r="AA4" s="163"/>
      <c r="AB4" s="163"/>
      <c r="AC4" s="163"/>
      <c r="AD4" s="163"/>
    </row>
    <row r="5" spans="1:30" ht="38.25" customHeight="1" x14ac:dyDescent="0.5">
      <c r="A5" s="36"/>
      <c r="B5" s="38"/>
      <c r="C5" s="161"/>
      <c r="D5" s="551"/>
      <c r="E5" s="352"/>
      <c r="F5" s="38"/>
      <c r="G5" s="30"/>
      <c r="H5" s="32"/>
      <c r="I5" s="564"/>
      <c r="J5" s="564" t="s">
        <v>669</v>
      </c>
      <c r="K5" s="32"/>
      <c r="L5" s="32"/>
      <c r="M5" s="71"/>
      <c r="N5" s="38"/>
      <c r="O5" s="38"/>
      <c r="P5" s="38"/>
      <c r="Q5" s="45"/>
      <c r="R5" s="167"/>
      <c r="S5" s="167"/>
      <c r="T5"/>
      <c r="U5" s="163"/>
      <c r="V5" s="163"/>
      <c r="W5" s="163"/>
      <c r="X5" s="163"/>
      <c r="Y5" s="163"/>
      <c r="Z5" s="163"/>
      <c r="AA5" s="163"/>
      <c r="AB5" s="163"/>
      <c r="AC5" s="163"/>
      <c r="AD5" s="163"/>
    </row>
    <row r="6" spans="1:30" ht="38.25" customHeight="1" x14ac:dyDescent="0.5">
      <c r="A6" s="36"/>
      <c r="B6" s="38"/>
      <c r="C6" s="161"/>
      <c r="D6" s="551"/>
      <c r="E6" s="352"/>
      <c r="F6" s="38"/>
      <c r="G6" s="36"/>
      <c r="H6" s="38"/>
      <c r="I6" s="352"/>
      <c r="J6" s="352" t="s">
        <v>670</v>
      </c>
      <c r="K6" s="38"/>
      <c r="L6" s="38"/>
      <c r="M6" s="45"/>
      <c r="N6" s="38"/>
      <c r="O6" s="38"/>
      <c r="P6" s="38"/>
      <c r="Q6" s="45"/>
      <c r="R6" s="167"/>
      <c r="S6" s="167"/>
      <c r="T6"/>
      <c r="U6" s="163"/>
      <c r="V6" s="163"/>
      <c r="W6" s="163"/>
      <c r="X6" s="163"/>
      <c r="Y6" s="163"/>
      <c r="Z6" s="163"/>
      <c r="AA6" s="163"/>
      <c r="AB6" s="163"/>
      <c r="AC6" s="163"/>
      <c r="AD6" s="163"/>
    </row>
    <row r="7" spans="1:30" ht="38.25" customHeight="1" x14ac:dyDescent="0.5">
      <c r="A7" s="36"/>
      <c r="B7" s="38"/>
      <c r="C7" s="161"/>
      <c r="D7" s="551"/>
      <c r="E7" s="352"/>
      <c r="F7" s="38"/>
      <c r="G7" s="36"/>
      <c r="H7" s="38"/>
      <c r="I7" s="352"/>
      <c r="J7" s="352" t="s">
        <v>671</v>
      </c>
      <c r="K7" s="38"/>
      <c r="L7" s="38"/>
      <c r="M7" s="45"/>
      <c r="N7" s="38"/>
      <c r="O7" s="38"/>
      <c r="P7" s="38"/>
      <c r="Q7" s="45"/>
      <c r="R7" s="167"/>
      <c r="S7" s="167"/>
      <c r="T7"/>
      <c r="U7" s="163"/>
      <c r="V7" s="163"/>
      <c r="W7" s="163"/>
      <c r="X7" s="163"/>
      <c r="Y7" s="163"/>
      <c r="Z7" s="163"/>
      <c r="AA7" s="163"/>
      <c r="AB7" s="163"/>
      <c r="AC7" s="163"/>
      <c r="AD7" s="163"/>
    </row>
    <row r="8" spans="1:30" ht="38.25" customHeight="1" x14ac:dyDescent="0.5">
      <c r="A8" s="36"/>
      <c r="B8" s="38"/>
      <c r="C8" s="161"/>
      <c r="D8" s="551"/>
      <c r="E8" s="352"/>
      <c r="F8" s="38"/>
      <c r="G8" s="63"/>
      <c r="H8" s="65"/>
      <c r="I8" s="565"/>
      <c r="J8" s="565" t="s">
        <v>672</v>
      </c>
      <c r="K8" s="65"/>
      <c r="L8" s="65"/>
      <c r="M8" s="88"/>
      <c r="N8" s="38"/>
      <c r="O8" s="38"/>
      <c r="P8" s="38"/>
      <c r="Q8" s="45"/>
      <c r="R8" s="167"/>
      <c r="S8" s="167"/>
      <c r="T8"/>
      <c r="U8" s="163"/>
      <c r="V8" s="163"/>
      <c r="W8" s="163"/>
      <c r="X8" s="163"/>
      <c r="Y8" s="163"/>
      <c r="Z8" s="163"/>
      <c r="AA8" s="163"/>
      <c r="AB8" s="163"/>
      <c r="AC8" s="163"/>
      <c r="AD8" s="163"/>
    </row>
    <row r="9" spans="1:30" ht="38.25" customHeight="1" x14ac:dyDescent="0.5">
      <c r="A9" s="36"/>
      <c r="B9" s="38"/>
      <c r="C9" s="161"/>
      <c r="D9" s="551"/>
      <c r="E9" s="38"/>
      <c r="F9" s="38"/>
      <c r="G9" s="38"/>
      <c r="H9" s="38"/>
      <c r="I9" s="38"/>
      <c r="J9" s="38"/>
      <c r="K9" s="38"/>
      <c r="L9" s="38"/>
      <c r="M9" s="38"/>
      <c r="N9" s="38"/>
      <c r="O9" s="38"/>
      <c r="P9" s="38"/>
      <c r="Q9" s="38"/>
      <c r="R9" s="167"/>
      <c r="S9" s="167"/>
      <c r="T9"/>
      <c r="U9" s="163"/>
      <c r="V9" s="163"/>
      <c r="W9" s="163"/>
      <c r="X9" s="163"/>
      <c r="Y9" s="163"/>
      <c r="Z9" s="163"/>
      <c r="AA9" s="163"/>
      <c r="AB9" s="163"/>
      <c r="AC9" s="163"/>
      <c r="AD9" s="163"/>
    </row>
    <row r="10" spans="1:30" ht="19.5" customHeight="1" x14ac:dyDescent="0.5">
      <c r="A10" s="36"/>
      <c r="B10" s="38"/>
      <c r="C10" s="161"/>
      <c r="D10" s="161"/>
      <c r="E10" s="208"/>
      <c r="F10" s="757"/>
      <c r="G10" s="758"/>
      <c r="H10" s="758"/>
      <c r="I10" s="758"/>
      <c r="J10" s="758"/>
      <c r="K10" s="758"/>
      <c r="L10" s="758"/>
      <c r="M10" s="322"/>
      <c r="N10" s="322"/>
      <c r="O10" s="161"/>
      <c r="P10" s="38"/>
      <c r="Q10" s="45"/>
      <c r="R10" s="167"/>
      <c r="S10" s="167"/>
      <c r="T10"/>
      <c r="U10" s="163"/>
      <c r="V10" s="163"/>
      <c r="W10" s="163"/>
      <c r="X10" s="163"/>
      <c r="Y10" s="163"/>
      <c r="Z10" s="163"/>
      <c r="AA10" s="163"/>
      <c r="AB10" s="163"/>
      <c r="AC10" s="163"/>
      <c r="AD10" s="163"/>
    </row>
    <row r="11" spans="1:30" ht="15.75" x14ac:dyDescent="0.25">
      <c r="A11" s="36"/>
      <c r="B11" s="84" t="s">
        <v>127</v>
      </c>
      <c r="C11" s="38"/>
      <c r="D11" s="92"/>
      <c r="E11" s="754" t="s">
        <v>249</v>
      </c>
      <c r="F11" s="755"/>
      <c r="G11" s="755"/>
      <c r="H11" s="755"/>
      <c r="I11" s="755"/>
      <c r="J11" s="755"/>
      <c r="K11" s="755"/>
      <c r="L11" s="755"/>
      <c r="M11" s="755"/>
      <c r="N11" s="755"/>
      <c r="O11" s="750"/>
      <c r="P11" s="38"/>
      <c r="Q11" s="45"/>
      <c r="R11" s="167"/>
      <c r="S11" s="167"/>
      <c r="T11"/>
      <c r="U11" s="163"/>
      <c r="V11" s="163"/>
      <c r="W11" s="163"/>
      <c r="X11" s="163"/>
      <c r="Y11" s="163"/>
      <c r="Z11" s="163"/>
      <c r="AA11" s="163"/>
      <c r="AB11" s="163"/>
      <c r="AC11" s="163"/>
      <c r="AD11" s="163"/>
    </row>
    <row r="12" spans="1:30" ht="3.75" customHeight="1" x14ac:dyDescent="0.2">
      <c r="A12" s="36"/>
      <c r="B12" s="38"/>
      <c r="C12" s="96"/>
      <c r="D12" s="92"/>
      <c r="E12" s="96"/>
      <c r="F12" s="96"/>
      <c r="G12" s="96"/>
      <c r="H12" s="96"/>
      <c r="I12" s="96"/>
      <c r="J12" s="96"/>
      <c r="K12" s="96"/>
      <c r="L12" s="96"/>
      <c r="M12" s="96"/>
      <c r="N12" s="96"/>
      <c r="O12" s="96"/>
      <c r="P12" s="38"/>
      <c r="Q12" s="45"/>
      <c r="R12" s="167"/>
      <c r="S12" s="167"/>
      <c r="T12"/>
      <c r="U12" s="163"/>
      <c r="V12" s="163"/>
      <c r="W12" s="163"/>
      <c r="X12" s="163"/>
      <c r="Y12" s="163"/>
      <c r="Z12" s="163"/>
      <c r="AA12" s="163"/>
      <c r="AB12" s="163"/>
      <c r="AC12" s="163"/>
      <c r="AD12" s="163"/>
    </row>
    <row r="13" spans="1:30" ht="13.5" customHeight="1" x14ac:dyDescent="0.25">
      <c r="A13" s="36"/>
      <c r="B13" s="126" t="s">
        <v>330</v>
      </c>
      <c r="C13" s="38"/>
      <c r="D13" s="92"/>
      <c r="E13" s="96"/>
      <c r="F13" s="96"/>
      <c r="G13" s="96"/>
      <c r="H13" s="96"/>
      <c r="I13" s="96"/>
      <c r="J13" s="96"/>
      <c r="K13" s="96"/>
      <c r="L13" s="96"/>
      <c r="M13" s="96"/>
      <c r="N13" s="96"/>
      <c r="O13" s="96"/>
      <c r="P13" s="38"/>
      <c r="Q13" s="45"/>
      <c r="R13" s="167"/>
      <c r="S13" s="167"/>
      <c r="T13"/>
      <c r="U13" s="163"/>
      <c r="V13" s="163"/>
      <c r="W13" s="163"/>
      <c r="X13" s="163"/>
      <c r="Y13" s="163"/>
      <c r="Z13" s="163"/>
      <c r="AA13" s="163"/>
      <c r="AB13" s="163"/>
      <c r="AC13" s="163"/>
      <c r="AD13" s="163"/>
    </row>
    <row r="14" spans="1:30" ht="15.75" x14ac:dyDescent="0.25">
      <c r="A14" s="36"/>
      <c r="B14" s="126" t="s">
        <v>360</v>
      </c>
      <c r="C14" s="38"/>
      <c r="D14" s="38"/>
      <c r="E14" s="756" t="s">
        <v>931</v>
      </c>
      <c r="F14" s="755"/>
      <c r="G14" s="755"/>
      <c r="H14" s="755"/>
      <c r="I14" s="755"/>
      <c r="J14" s="755"/>
      <c r="K14" s="755"/>
      <c r="L14" s="755"/>
      <c r="M14" s="755"/>
      <c r="N14" s="755"/>
      <c r="O14" s="750"/>
      <c r="P14" s="38"/>
      <c r="Q14" s="45"/>
      <c r="R14" s="167"/>
      <c r="S14" s="167"/>
      <c r="T14"/>
      <c r="V14" s="163"/>
      <c r="W14" s="163"/>
      <c r="X14" s="163"/>
      <c r="Y14" s="163"/>
      <c r="Z14" s="163"/>
      <c r="AA14" s="163"/>
      <c r="AB14" s="163"/>
      <c r="AC14" s="163"/>
      <c r="AD14" s="163"/>
    </row>
    <row r="15" spans="1:30" ht="15.75" x14ac:dyDescent="0.25">
      <c r="A15" s="36"/>
      <c r="B15" s="126" t="s">
        <v>361</v>
      </c>
      <c r="C15" s="38"/>
      <c r="D15" s="38"/>
      <c r="E15" s="756" t="s">
        <v>932</v>
      </c>
      <c r="F15" s="755"/>
      <c r="G15" s="755"/>
      <c r="H15" s="755"/>
      <c r="I15" s="755"/>
      <c r="J15" s="755"/>
      <c r="K15" s="755"/>
      <c r="L15" s="755"/>
      <c r="M15" s="755"/>
      <c r="N15" s="755"/>
      <c r="O15" s="750"/>
      <c r="P15" s="38"/>
      <c r="Q15" s="45"/>
      <c r="R15" s="167"/>
      <c r="S15" s="167"/>
      <c r="T15"/>
      <c r="V15" s="163"/>
      <c r="W15" s="163"/>
      <c r="X15" s="163"/>
      <c r="Y15" s="163"/>
      <c r="Z15" s="163"/>
      <c r="AA15" s="163"/>
      <c r="AB15" s="163"/>
      <c r="AC15" s="163"/>
      <c r="AD15" s="163"/>
    </row>
    <row r="16" spans="1:30" ht="15.75" x14ac:dyDescent="0.25">
      <c r="A16" s="36"/>
      <c r="B16" s="126" t="s">
        <v>362</v>
      </c>
      <c r="C16" s="38"/>
      <c r="D16" s="38"/>
      <c r="E16" s="759" t="s">
        <v>956</v>
      </c>
      <c r="F16" s="760"/>
      <c r="G16" s="760"/>
      <c r="H16" s="760"/>
      <c r="I16" s="760"/>
      <c r="J16" s="760"/>
      <c r="K16" s="760"/>
      <c r="L16" s="760"/>
      <c r="M16" s="760"/>
      <c r="N16" s="760"/>
      <c r="O16" s="761"/>
      <c r="P16" s="38"/>
      <c r="Q16" s="45"/>
      <c r="R16" s="167"/>
      <c r="S16" s="167"/>
      <c r="T16"/>
      <c r="V16" s="163"/>
      <c r="W16" s="163"/>
      <c r="X16" s="163"/>
      <c r="Y16" s="163"/>
      <c r="Z16" s="163"/>
      <c r="AA16" s="163"/>
      <c r="AB16" s="163"/>
      <c r="AC16" s="163"/>
      <c r="AD16" s="163"/>
    </row>
    <row r="17" spans="1:31" ht="15.75" x14ac:dyDescent="0.25">
      <c r="A17" s="36"/>
      <c r="B17" s="126" t="s">
        <v>13</v>
      </c>
      <c r="C17" s="38"/>
      <c r="D17" s="38"/>
      <c r="E17" s="756" t="s">
        <v>933</v>
      </c>
      <c r="F17" s="755"/>
      <c r="G17" s="755"/>
      <c r="H17" s="755"/>
      <c r="I17" s="755"/>
      <c r="J17" s="755"/>
      <c r="K17" s="755"/>
      <c r="L17" s="755"/>
      <c r="M17" s="755"/>
      <c r="N17" s="755"/>
      <c r="O17" s="750"/>
      <c r="P17" s="38"/>
      <c r="Q17" s="45"/>
      <c r="R17" s="167"/>
      <c r="S17" s="167"/>
      <c r="T17"/>
      <c r="V17" s="163"/>
      <c r="W17" s="163"/>
      <c r="X17" s="163"/>
      <c r="Y17" s="163"/>
      <c r="Z17" s="163"/>
      <c r="AA17" s="163"/>
      <c r="AB17" s="163"/>
      <c r="AC17" s="163"/>
      <c r="AD17" s="163"/>
    </row>
    <row r="18" spans="1:31" ht="5.25" customHeight="1" x14ac:dyDescent="0.2">
      <c r="A18" s="36"/>
      <c r="B18" s="325"/>
      <c r="C18" s="325"/>
      <c r="D18" s="38"/>
      <c r="E18" s="38"/>
      <c r="F18" s="38"/>
      <c r="G18" s="38"/>
      <c r="H18" s="38"/>
      <c r="I18" s="38"/>
      <c r="J18" s="38"/>
      <c r="K18" s="38"/>
      <c r="L18" s="38"/>
      <c r="M18" s="38"/>
      <c r="N18" s="38"/>
      <c r="O18" s="38"/>
      <c r="P18" s="38"/>
      <c r="Q18" s="45"/>
      <c r="R18" s="167"/>
      <c r="S18" s="167"/>
      <c r="T18"/>
      <c r="V18" s="163"/>
      <c r="W18" s="163"/>
      <c r="X18" s="163"/>
      <c r="Y18" s="163"/>
      <c r="Z18" s="163"/>
      <c r="AA18" s="163"/>
      <c r="AB18" s="163"/>
      <c r="AC18" s="163"/>
      <c r="AD18" s="163"/>
    </row>
    <row r="19" spans="1:31" ht="29.25" customHeight="1" x14ac:dyDescent="0.25">
      <c r="A19" s="36"/>
      <c r="B19" s="326" t="s">
        <v>674</v>
      </c>
      <c r="C19" s="38"/>
      <c r="D19" s="38"/>
      <c r="E19" s="38"/>
      <c r="F19" s="38"/>
      <c r="G19" s="38"/>
      <c r="H19" s="38"/>
      <c r="I19" s="38"/>
      <c r="J19" s="38"/>
      <c r="K19" s="38"/>
      <c r="L19" s="38"/>
      <c r="M19" s="38"/>
      <c r="N19" s="38"/>
      <c r="O19" s="38"/>
      <c r="P19" s="38"/>
      <c r="Q19" s="45"/>
      <c r="R19" s="167"/>
      <c r="S19" s="167"/>
      <c r="T19"/>
      <c r="V19" s="163"/>
      <c r="W19" s="163"/>
      <c r="X19" s="163"/>
      <c r="Y19" s="163"/>
      <c r="Z19" s="163"/>
      <c r="AA19" s="163"/>
      <c r="AB19" s="163"/>
      <c r="AC19" s="163"/>
      <c r="AD19" s="163"/>
    </row>
    <row r="20" spans="1:31" ht="1.5" customHeight="1" x14ac:dyDescent="0.2">
      <c r="A20" s="36"/>
      <c r="B20" s="325"/>
      <c r="C20" s="38"/>
      <c r="D20" s="38"/>
      <c r="E20" s="38"/>
      <c r="F20" s="38"/>
      <c r="G20" s="38"/>
      <c r="H20" s="38"/>
      <c r="I20" s="38"/>
      <c r="J20" s="38"/>
      <c r="K20" s="38"/>
      <c r="L20" s="38"/>
      <c r="M20" s="38"/>
      <c r="N20" s="38"/>
      <c r="O20" s="38"/>
      <c r="P20" s="38"/>
      <c r="Q20" s="45"/>
      <c r="R20" s="167"/>
      <c r="S20" s="167"/>
      <c r="T20"/>
      <c r="U20" s="163"/>
      <c r="V20" s="163"/>
      <c r="W20" s="163"/>
      <c r="X20" s="163"/>
      <c r="Y20" s="163"/>
      <c r="Z20" s="163"/>
      <c r="AA20" s="163"/>
      <c r="AB20" s="163"/>
      <c r="AC20" s="163"/>
      <c r="AD20" s="163"/>
    </row>
    <row r="21" spans="1:31" ht="15" x14ac:dyDescent="0.2">
      <c r="A21" s="36"/>
      <c r="B21" s="380" t="s">
        <v>682</v>
      </c>
      <c r="C21" s="38"/>
      <c r="D21" s="38"/>
      <c r="E21" s="38"/>
      <c r="F21" s="38"/>
      <c r="G21" s="38"/>
      <c r="H21" s="38"/>
      <c r="I21" s="38"/>
      <c r="J21" s="38"/>
      <c r="K21" s="38"/>
      <c r="L21" s="552" t="s">
        <v>683</v>
      </c>
      <c r="M21" s="38"/>
      <c r="N21" s="38"/>
      <c r="O21" s="38"/>
      <c r="P21" s="38"/>
      <c r="Q21" s="45"/>
      <c r="R21" s="167"/>
      <c r="S21" s="167"/>
      <c r="T21"/>
      <c r="U21" s="163"/>
      <c r="V21" s="163"/>
      <c r="W21" s="163"/>
      <c r="X21" s="163"/>
      <c r="Y21" s="163"/>
      <c r="Z21" s="163"/>
      <c r="AA21" s="163"/>
      <c r="AB21" s="163"/>
      <c r="AC21" s="163"/>
      <c r="AD21" s="163"/>
    </row>
    <row r="22" spans="1:31" ht="15.75" x14ac:dyDescent="0.25">
      <c r="A22" s="36"/>
      <c r="B22" s="380" t="s">
        <v>685</v>
      </c>
      <c r="C22" s="38"/>
      <c r="D22" s="84"/>
      <c r="E22" s="84"/>
      <c r="F22" s="84"/>
      <c r="G22" s="84"/>
      <c r="H22" s="84"/>
      <c r="I22" s="84"/>
      <c r="J22" s="84"/>
      <c r="K22" s="84"/>
      <c r="L22" s="552"/>
      <c r="M22" s="553"/>
      <c r="N22" s="38"/>
      <c r="O22" s="38"/>
      <c r="P22" s="38"/>
      <c r="Q22" s="45"/>
      <c r="S22"/>
      <c r="T22"/>
      <c r="U22"/>
      <c r="V22" s="163"/>
      <c r="W22" s="163"/>
      <c r="X22" s="163"/>
      <c r="Y22" s="163"/>
      <c r="Z22" s="163"/>
      <c r="AA22" s="163"/>
      <c r="AB22" s="163"/>
      <c r="AC22" s="163"/>
      <c r="AD22" s="163"/>
      <c r="AE22" s="163"/>
    </row>
    <row r="23" spans="1:31" ht="15.75" x14ac:dyDescent="0.25">
      <c r="A23" s="36"/>
      <c r="B23" s="380" t="s">
        <v>798</v>
      </c>
      <c r="C23" s="38"/>
      <c r="D23" s="84"/>
      <c r="E23" s="84"/>
      <c r="F23" s="84"/>
      <c r="G23" s="84"/>
      <c r="H23" s="84"/>
      <c r="I23" s="82"/>
      <c r="J23" s="84"/>
      <c r="K23" s="84"/>
      <c r="L23" s="552" t="s">
        <v>799</v>
      </c>
      <c r="M23" s="605">
        <v>10</v>
      </c>
      <c r="N23" s="38"/>
      <c r="O23" s="38"/>
      <c r="P23" s="38"/>
      <c r="Q23" s="45"/>
      <c r="S23"/>
      <c r="T23"/>
      <c r="U23"/>
      <c r="V23" s="163"/>
      <c r="W23" s="163"/>
      <c r="X23" s="163"/>
      <c r="Y23" s="163"/>
      <c r="Z23" s="163"/>
      <c r="AA23" s="163"/>
      <c r="AB23" s="163"/>
      <c r="AC23" s="163"/>
      <c r="AD23" s="163"/>
      <c r="AE23" s="163"/>
    </row>
    <row r="24" spans="1:31" ht="15.75" x14ac:dyDescent="0.25">
      <c r="A24" s="36"/>
      <c r="B24" s="380" t="s">
        <v>786</v>
      </c>
      <c r="C24" s="38"/>
      <c r="D24" s="84"/>
      <c r="E24" s="84"/>
      <c r="F24" s="84"/>
      <c r="G24" s="84"/>
      <c r="H24" s="84"/>
      <c r="I24" s="82"/>
      <c r="J24" s="84"/>
      <c r="K24" s="84"/>
      <c r="L24" s="601">
        <v>1.4885007609247396E-2</v>
      </c>
      <c r="M24" s="553"/>
      <c r="N24" s="38"/>
      <c r="O24" s="38"/>
      <c r="P24" s="38"/>
      <c r="Q24" s="45"/>
      <c r="S24"/>
      <c r="T24"/>
      <c r="U24"/>
      <c r="V24" s="163"/>
      <c r="W24" s="163"/>
      <c r="X24" s="163"/>
      <c r="Y24" s="163"/>
      <c r="Z24" s="163"/>
      <c r="AA24" s="163"/>
      <c r="AB24" s="163"/>
      <c r="AC24" s="163"/>
      <c r="AD24" s="163"/>
      <c r="AE24" s="163"/>
    </row>
    <row r="25" spans="1:31" ht="15.75" x14ac:dyDescent="0.25">
      <c r="A25" s="36"/>
      <c r="B25" s="380"/>
      <c r="C25" s="38"/>
      <c r="D25" s="84"/>
      <c r="E25" s="84"/>
      <c r="F25" s="84"/>
      <c r="G25" s="84"/>
      <c r="H25" s="84"/>
      <c r="I25" s="82"/>
      <c r="J25" s="84"/>
      <c r="K25" s="84"/>
      <c r="L25" s="84"/>
      <c r="M25" s="84"/>
      <c r="N25" s="38"/>
      <c r="O25" s="38"/>
      <c r="P25" s="38"/>
      <c r="Q25" s="45"/>
      <c r="S25"/>
      <c r="T25"/>
      <c r="U25"/>
      <c r="V25" s="163"/>
      <c r="W25" s="163"/>
      <c r="X25" s="163"/>
      <c r="Y25" s="163"/>
      <c r="Z25" s="163"/>
      <c r="AA25" s="163"/>
      <c r="AB25" s="163"/>
      <c r="AC25" s="163"/>
      <c r="AD25" s="163"/>
      <c r="AE25" s="163"/>
    </row>
    <row r="26" spans="1:31" ht="18" x14ac:dyDescent="0.25">
      <c r="A26" s="36"/>
      <c r="B26" s="326" t="s">
        <v>417</v>
      </c>
      <c r="C26" s="38"/>
      <c r="D26" s="84"/>
      <c r="E26" s="84"/>
      <c r="F26" s="84"/>
      <c r="G26" s="84"/>
      <c r="H26" s="84"/>
      <c r="I26" s="82"/>
      <c r="J26" s="84"/>
      <c r="K26" s="84"/>
      <c r="L26" s="540" t="s">
        <v>846</v>
      </c>
      <c r="M26" s="540" t="s">
        <v>847</v>
      </c>
      <c r="N26" s="38"/>
      <c r="O26" s="38"/>
      <c r="P26" s="38"/>
      <c r="Q26" s="45"/>
      <c r="S26"/>
      <c r="T26"/>
      <c r="U26"/>
      <c r="V26" s="163"/>
      <c r="W26" s="163"/>
      <c r="X26" s="163"/>
      <c r="Y26" s="163"/>
      <c r="Z26" s="163"/>
      <c r="AA26" s="163"/>
      <c r="AB26" s="163"/>
      <c r="AC26" s="163"/>
      <c r="AD26" s="163"/>
      <c r="AE26" s="163"/>
    </row>
    <row r="27" spans="1:31" ht="15.75" customHeight="1" x14ac:dyDescent="0.25">
      <c r="A27" s="36"/>
      <c r="B27" s="82" t="s">
        <v>844</v>
      </c>
      <c r="C27" s="38"/>
      <c r="D27" s="84"/>
      <c r="E27" s="84"/>
      <c r="F27" s="84"/>
      <c r="G27" s="84"/>
      <c r="H27" s="84"/>
      <c r="I27" s="84"/>
      <c r="J27" s="84"/>
      <c r="K27" s="84"/>
      <c r="L27" s="552" t="s">
        <v>934</v>
      </c>
      <c r="M27" s="552" t="s">
        <v>934</v>
      </c>
      <c r="N27" s="38"/>
      <c r="O27" s="451"/>
      <c r="P27" s="451"/>
      <c r="Q27" s="45"/>
      <c r="S27"/>
      <c r="T27"/>
      <c r="U27"/>
      <c r="V27" s="163"/>
      <c r="W27" s="163"/>
      <c r="X27" s="163"/>
      <c r="Y27" s="163"/>
      <c r="Z27" s="163"/>
      <c r="AA27" s="163"/>
      <c r="AB27" s="163"/>
      <c r="AC27" s="163"/>
      <c r="AD27" s="163"/>
      <c r="AE27" s="163"/>
    </row>
    <row r="28" spans="1:31" ht="15.75" customHeight="1" x14ac:dyDescent="0.25">
      <c r="A28" s="36"/>
      <c r="B28" s="82" t="s">
        <v>930</v>
      </c>
      <c r="C28" s="38"/>
      <c r="D28" s="84"/>
      <c r="E28" s="84"/>
      <c r="F28" s="84"/>
      <c r="G28" s="84"/>
      <c r="H28" s="84"/>
      <c r="I28" s="84"/>
      <c r="J28" s="84"/>
      <c r="K28" s="84"/>
      <c r="L28" s="84"/>
      <c r="M28" s="84"/>
      <c r="N28" s="38"/>
      <c r="O28" s="451"/>
      <c r="P28" s="451"/>
      <c r="Q28" s="45"/>
      <c r="S28"/>
      <c r="T28"/>
      <c r="U28"/>
      <c r="V28" s="163"/>
      <c r="W28" s="163"/>
      <c r="X28" s="163"/>
      <c r="Y28" s="163"/>
      <c r="Z28" s="163"/>
      <c r="AA28" s="163"/>
      <c r="AB28" s="163"/>
      <c r="AC28" s="163"/>
      <c r="AD28" s="163"/>
      <c r="AE28" s="163"/>
    </row>
    <row r="29" spans="1:31" ht="15.75" customHeight="1" x14ac:dyDescent="0.25">
      <c r="A29" s="36"/>
      <c r="B29" s="82" t="s">
        <v>785</v>
      </c>
      <c r="C29" s="464"/>
      <c r="D29" s="465"/>
      <c r="E29" s="465"/>
      <c r="F29" s="465"/>
      <c r="G29" s="465"/>
      <c r="H29" s="465"/>
      <c r="I29" s="465"/>
      <c r="J29" s="465"/>
      <c r="K29" s="465" t="s">
        <v>843</v>
      </c>
      <c r="L29" s="554"/>
      <c r="M29" s="554"/>
      <c r="N29" s="38"/>
      <c r="O29" s="38"/>
      <c r="P29" s="38"/>
      <c r="Q29" s="45"/>
      <c r="S29"/>
      <c r="T29"/>
      <c r="U29"/>
      <c r="V29" s="163"/>
      <c r="W29" s="163"/>
      <c r="X29" s="163"/>
      <c r="Y29" s="163"/>
      <c r="Z29" s="163"/>
      <c r="AA29" s="163"/>
      <c r="AB29" s="163"/>
      <c r="AC29" s="163"/>
      <c r="AD29" s="163"/>
      <c r="AE29" s="163"/>
    </row>
    <row r="30" spans="1:31" ht="15.75" customHeight="1" x14ac:dyDescent="0.25">
      <c r="A30" s="36"/>
      <c r="B30" s="82" t="s">
        <v>845</v>
      </c>
      <c r="C30" s="464"/>
      <c r="D30" s="465"/>
      <c r="E30" s="465"/>
      <c r="F30" s="465"/>
      <c r="G30" s="465"/>
      <c r="H30" s="465"/>
      <c r="I30" s="465"/>
      <c r="J30" s="465"/>
      <c r="K30" s="465" t="s">
        <v>728</v>
      </c>
      <c r="L30" s="554"/>
      <c r="M30" s="554"/>
      <c r="N30" s="38"/>
      <c r="O30" s="38"/>
      <c r="P30" s="38"/>
      <c r="Q30" s="45"/>
      <c r="S30"/>
      <c r="T30"/>
      <c r="U30"/>
      <c r="V30" s="163"/>
      <c r="W30" s="163"/>
      <c r="X30" s="163"/>
      <c r="Y30" s="163"/>
      <c r="Z30" s="163"/>
      <c r="AA30" s="163"/>
      <c r="AB30" s="163"/>
      <c r="AC30" s="163"/>
      <c r="AD30" s="163"/>
      <c r="AE30" s="163"/>
    </row>
    <row r="31" spans="1:31" ht="29.25" customHeight="1" x14ac:dyDescent="0.25">
      <c r="A31" s="36"/>
      <c r="B31" s="326" t="s">
        <v>673</v>
      </c>
      <c r="C31" s="38"/>
      <c r="D31" s="38"/>
      <c r="E31" s="38"/>
      <c r="F31" s="38"/>
      <c r="G31" s="38"/>
      <c r="H31" s="38"/>
      <c r="I31" s="38"/>
      <c r="J31" s="38"/>
      <c r="K31" s="38"/>
      <c r="L31" s="38"/>
      <c r="M31" s="38"/>
      <c r="N31" s="38"/>
      <c r="O31" s="38"/>
      <c r="P31" s="38"/>
      <c r="Q31" s="45"/>
      <c r="R31" s="167"/>
      <c r="S31" s="167"/>
      <c r="T31"/>
      <c r="V31" s="163"/>
      <c r="W31" s="163"/>
      <c r="X31" s="163"/>
      <c r="Y31" s="163"/>
      <c r="Z31" s="163"/>
      <c r="AA31" s="163"/>
      <c r="AB31" s="163"/>
      <c r="AC31" s="163"/>
      <c r="AD31" s="163"/>
    </row>
    <row r="32" spans="1:31" ht="1.5" customHeight="1" x14ac:dyDescent="0.2">
      <c r="A32" s="36"/>
      <c r="B32" s="325"/>
      <c r="C32" s="38"/>
      <c r="D32" s="38"/>
      <c r="E32" s="38"/>
      <c r="F32" s="38"/>
      <c r="G32" s="38"/>
      <c r="H32" s="38"/>
      <c r="I32" s="38"/>
      <c r="J32" s="38"/>
      <c r="K32" s="38"/>
      <c r="L32" s="38"/>
      <c r="M32" s="38"/>
      <c r="N32" s="38"/>
      <c r="O32" s="38"/>
      <c r="P32" s="38"/>
      <c r="Q32" s="45"/>
      <c r="R32" s="167"/>
      <c r="S32" s="167"/>
      <c r="T32"/>
      <c r="U32" s="163"/>
      <c r="V32" s="163"/>
      <c r="W32" s="163"/>
      <c r="X32" s="163"/>
      <c r="Y32" s="163"/>
      <c r="Z32" s="163"/>
      <c r="AA32" s="163"/>
      <c r="AB32" s="163"/>
      <c r="AC32" s="163"/>
      <c r="AD32" s="163"/>
    </row>
    <row r="33" spans="1:31" ht="15.75" x14ac:dyDescent="0.25">
      <c r="A33" s="36"/>
      <c r="B33" s="380" t="s">
        <v>686</v>
      </c>
      <c r="C33" s="38"/>
      <c r="D33" s="84"/>
      <c r="E33" s="84"/>
      <c r="F33" s="84"/>
      <c r="G33" s="84"/>
      <c r="H33" s="84"/>
      <c r="I33" s="84"/>
      <c r="J33" s="84"/>
      <c r="K33" s="84"/>
      <c r="L33" s="602">
        <v>0</v>
      </c>
      <c r="M33" s="385">
        <f>(L33/'WK4 - PGI summary'!H13)</f>
        <v>0</v>
      </c>
      <c r="N33" s="38"/>
      <c r="O33" s="38"/>
      <c r="P33" s="38"/>
      <c r="Q33" s="45"/>
      <c r="S33"/>
      <c r="T33"/>
      <c r="U33"/>
      <c r="V33" s="163"/>
      <c r="W33" s="163"/>
      <c r="X33" s="163"/>
      <c r="Y33" s="163"/>
      <c r="Z33" s="163"/>
      <c r="AA33" s="163"/>
      <c r="AB33" s="163"/>
      <c r="AC33" s="163"/>
      <c r="AD33" s="163"/>
      <c r="AE33" s="163"/>
    </row>
    <row r="34" spans="1:31" ht="15.75" x14ac:dyDescent="0.25">
      <c r="A34" s="36"/>
      <c r="B34" s="380" t="s">
        <v>687</v>
      </c>
      <c r="C34" s="38"/>
      <c r="D34" s="84"/>
      <c r="E34" s="84"/>
      <c r="F34" s="84"/>
      <c r="G34" s="84"/>
      <c r="H34" s="84"/>
      <c r="I34" s="82"/>
      <c r="J34" s="84"/>
      <c r="K34" s="84"/>
      <c r="L34" s="602">
        <v>100718</v>
      </c>
      <c r="M34" s="553"/>
      <c r="N34" s="38"/>
      <c r="O34" s="38"/>
      <c r="P34" s="38"/>
      <c r="Q34" s="45"/>
      <c r="S34"/>
      <c r="T34"/>
      <c r="U34"/>
      <c r="V34" s="163"/>
      <c r="W34" s="163"/>
      <c r="X34" s="163"/>
      <c r="Y34" s="163"/>
      <c r="Z34" s="163"/>
      <c r="AA34" s="163"/>
      <c r="AB34" s="163"/>
      <c r="AC34" s="163"/>
      <c r="AD34" s="163"/>
      <c r="AE34" s="163"/>
    </row>
    <row r="35" spans="1:31" ht="15.75" customHeight="1" x14ac:dyDescent="0.25">
      <c r="A35" s="36"/>
      <c r="B35" s="82" t="s">
        <v>889</v>
      </c>
      <c r="C35" s="38"/>
      <c r="D35" s="84"/>
      <c r="E35" s="84"/>
      <c r="F35" s="84"/>
      <c r="G35" s="84"/>
      <c r="H35" s="84"/>
      <c r="I35" s="84"/>
      <c r="J35" s="84"/>
      <c r="K35" s="84"/>
      <c r="L35" s="678"/>
      <c r="M35" s="451"/>
      <c r="N35" s="38"/>
      <c r="O35" s="451"/>
      <c r="P35" s="451"/>
      <c r="Q35" s="45"/>
      <c r="S35"/>
      <c r="T35"/>
      <c r="U35"/>
      <c r="V35" s="163"/>
      <c r="W35" s="163"/>
      <c r="X35" s="163"/>
      <c r="Y35" s="163"/>
      <c r="Z35" s="163"/>
      <c r="AA35" s="163"/>
      <c r="AB35" s="163"/>
      <c r="AC35" s="163"/>
      <c r="AD35" s="163"/>
      <c r="AE35" s="163"/>
    </row>
    <row r="36" spans="1:31" ht="30" customHeight="1" x14ac:dyDescent="0.25">
      <c r="A36" s="36"/>
      <c r="B36" s="327" t="s">
        <v>364</v>
      </c>
      <c r="C36" s="82"/>
      <c r="D36" s="82"/>
      <c r="E36" s="82"/>
      <c r="F36" s="82"/>
      <c r="G36" s="82"/>
      <c r="H36" s="82"/>
      <c r="I36" s="82"/>
      <c r="J36" s="82"/>
      <c r="K36" s="82"/>
      <c r="L36" s="38"/>
      <c r="M36" s="379"/>
      <c r="N36" s="379"/>
      <c r="O36" s="379"/>
      <c r="P36" s="38"/>
      <c r="Q36" s="45"/>
      <c r="R36" s="167"/>
      <c r="S36" s="167"/>
      <c r="T36"/>
      <c r="V36" s="163"/>
      <c r="W36" s="163"/>
      <c r="X36" s="163"/>
      <c r="Y36" s="163"/>
      <c r="Z36" s="163"/>
      <c r="AA36" s="163"/>
      <c r="AB36" s="163"/>
      <c r="AC36" s="163"/>
      <c r="AD36" s="163"/>
    </row>
    <row r="37" spans="1:31" ht="18" customHeight="1" x14ac:dyDescent="0.25">
      <c r="A37" s="36"/>
      <c r="B37" s="82" t="s">
        <v>890</v>
      </c>
      <c r="C37" s="328"/>
      <c r="D37" s="82"/>
      <c r="E37" s="82"/>
      <c r="F37" s="82"/>
      <c r="G37" s="82"/>
      <c r="H37" s="82"/>
      <c r="I37" s="82"/>
      <c r="J37" s="82"/>
      <c r="K37" s="82"/>
      <c r="L37" s="82"/>
      <c r="M37" s="82"/>
      <c r="N37" s="82"/>
      <c r="O37" s="38"/>
      <c r="P37" s="38"/>
      <c r="Q37" s="45"/>
      <c r="R37" s="167"/>
      <c r="S37" s="167"/>
      <c r="T37"/>
      <c r="V37" s="163"/>
      <c r="W37" s="163"/>
      <c r="X37" s="163"/>
      <c r="Y37" s="163"/>
      <c r="Z37" s="163"/>
      <c r="AA37" s="163"/>
      <c r="AB37" s="163"/>
      <c r="AC37" s="163"/>
      <c r="AD37" s="163"/>
    </row>
    <row r="38" spans="1:31" ht="18" customHeight="1" x14ac:dyDescent="0.25">
      <c r="A38" s="36"/>
      <c r="B38" s="82" t="s">
        <v>800</v>
      </c>
      <c r="C38" s="328"/>
      <c r="D38" s="82"/>
      <c r="E38" s="82"/>
      <c r="F38" s="82"/>
      <c r="G38" s="82"/>
      <c r="H38" s="82"/>
      <c r="I38" s="82"/>
      <c r="J38" s="82"/>
      <c r="K38" s="82"/>
      <c r="L38" s="82"/>
      <c r="M38" s="82"/>
      <c r="N38" s="82"/>
      <c r="O38" s="38"/>
      <c r="P38" s="38"/>
      <c r="Q38" s="45"/>
      <c r="R38" s="167"/>
      <c r="S38" s="167"/>
      <c r="T38"/>
      <c r="V38" s="163"/>
      <c r="W38" s="163"/>
      <c r="X38" s="163"/>
      <c r="Y38" s="163"/>
      <c r="Z38" s="163"/>
      <c r="AA38" s="163"/>
      <c r="AB38" s="163"/>
      <c r="AC38" s="163"/>
      <c r="AD38" s="163"/>
    </row>
    <row r="39" spans="1:31" ht="18" customHeight="1" x14ac:dyDescent="0.25">
      <c r="A39" s="36"/>
      <c r="B39" s="123" t="s">
        <v>511</v>
      </c>
      <c r="C39" s="328"/>
      <c r="D39" s="82"/>
      <c r="E39" s="82"/>
      <c r="F39" s="82"/>
      <c r="G39" s="82"/>
      <c r="H39" s="82"/>
      <c r="I39" s="82"/>
      <c r="J39" s="82"/>
      <c r="K39" s="82"/>
      <c r="L39" s="82"/>
      <c r="M39" s="82"/>
      <c r="N39" s="82"/>
      <c r="O39" s="38"/>
      <c r="P39" s="38"/>
      <c r="Q39" s="45"/>
      <c r="R39" s="167"/>
      <c r="S39" s="167"/>
      <c r="T39"/>
      <c r="V39" s="163"/>
      <c r="W39" s="163"/>
      <c r="X39" s="163"/>
      <c r="Y39" s="163"/>
      <c r="Z39" s="163"/>
      <c r="AA39" s="163"/>
      <c r="AB39" s="163"/>
      <c r="AC39" s="163"/>
      <c r="AD39" s="163"/>
    </row>
    <row r="40" spans="1:31" ht="15" customHeight="1" x14ac:dyDescent="0.2">
      <c r="A40" s="36"/>
      <c r="B40" s="38"/>
      <c r="C40" s="82"/>
      <c r="D40" s="82"/>
      <c r="E40" s="82"/>
      <c r="F40" s="82"/>
      <c r="G40" s="82"/>
      <c r="H40" s="82"/>
      <c r="I40" s="82"/>
      <c r="J40" s="82"/>
      <c r="K40" s="82"/>
      <c r="L40" s="209"/>
      <c r="M40" s="82"/>
      <c r="N40" s="82"/>
      <c r="O40" s="38"/>
      <c r="P40" s="38"/>
      <c r="Q40" s="45"/>
      <c r="R40" s="167"/>
      <c r="S40" s="167"/>
      <c r="T40"/>
      <c r="U40" s="163"/>
      <c r="V40" s="163"/>
      <c r="W40" s="163"/>
      <c r="X40" s="163"/>
      <c r="Y40" s="163"/>
      <c r="Z40" s="163"/>
      <c r="AA40" s="163"/>
      <c r="AB40" s="163"/>
      <c r="AC40" s="163"/>
      <c r="AD40" s="163"/>
    </row>
    <row r="41" spans="1:31" ht="30.6" customHeight="1" x14ac:dyDescent="0.25">
      <c r="A41" s="36"/>
      <c r="B41" s="37"/>
      <c r="C41" s="82"/>
      <c r="D41" s="747" t="s">
        <v>415</v>
      </c>
      <c r="E41" s="748"/>
      <c r="F41" s="747" t="s">
        <v>416</v>
      </c>
      <c r="G41" s="753"/>
      <c r="H41" s="748"/>
      <c r="I41" s="82"/>
      <c r="J41" s="82"/>
      <c r="K41" s="82"/>
      <c r="L41" s="82"/>
      <c r="M41" s="82"/>
      <c r="N41" s="82"/>
      <c r="O41" s="82"/>
      <c r="P41" s="38"/>
      <c r="Q41" s="45"/>
      <c r="T41"/>
      <c r="V41" s="163"/>
      <c r="W41" s="163"/>
      <c r="X41" s="163"/>
      <c r="Y41" s="163"/>
      <c r="Z41" s="163"/>
      <c r="AA41" s="163"/>
      <c r="AB41" s="163"/>
      <c r="AC41" s="163"/>
      <c r="AD41" s="163"/>
    </row>
    <row r="42" spans="1:31" ht="60" x14ac:dyDescent="0.25">
      <c r="A42" s="36"/>
      <c r="B42" s="82"/>
      <c r="C42" s="82"/>
      <c r="D42" s="212" t="s">
        <v>342</v>
      </c>
      <c r="E42" s="330" t="s">
        <v>341</v>
      </c>
      <c r="F42" s="212" t="s">
        <v>342</v>
      </c>
      <c r="G42" s="330" t="s">
        <v>341</v>
      </c>
      <c r="H42" s="330" t="s">
        <v>440</v>
      </c>
      <c r="I42" s="82"/>
      <c r="J42" s="330" t="s">
        <v>681</v>
      </c>
      <c r="K42" s="330" t="s">
        <v>692</v>
      </c>
      <c r="L42" s="82"/>
      <c r="M42" s="82"/>
      <c r="N42" s="82"/>
      <c r="O42" s="82"/>
      <c r="P42" s="38"/>
      <c r="Q42" s="45"/>
      <c r="T42"/>
      <c r="V42" s="163"/>
      <c r="W42" s="163"/>
      <c r="X42" s="163"/>
      <c r="Y42" s="163"/>
      <c r="Z42" s="163"/>
      <c r="AA42" s="163"/>
      <c r="AB42" s="163"/>
      <c r="AC42" s="163"/>
      <c r="AD42" s="163"/>
    </row>
    <row r="43" spans="1:31" ht="15" hidden="1" customHeight="1" x14ac:dyDescent="0.2">
      <c r="A43" s="36"/>
      <c r="B43" s="331"/>
      <c r="C43" s="331"/>
      <c r="D43" s="332">
        <v>1</v>
      </c>
      <c r="E43" s="333"/>
      <c r="F43" s="331"/>
      <c r="G43" s="331"/>
      <c r="H43" s="331"/>
      <c r="I43" s="82"/>
      <c r="J43" s="332">
        <v>1</v>
      </c>
      <c r="K43" s="82"/>
      <c r="L43" s="82"/>
      <c r="M43" s="82"/>
      <c r="N43" s="82"/>
      <c r="O43" s="82"/>
      <c r="P43" s="38"/>
      <c r="Q43" s="45"/>
      <c r="T43"/>
      <c r="V43" s="163"/>
      <c r="W43" s="163"/>
      <c r="X43" s="163"/>
      <c r="Y43" s="163"/>
      <c r="Z43" s="163"/>
      <c r="AA43" s="163"/>
      <c r="AB43" s="163"/>
      <c r="AC43" s="163"/>
      <c r="AD43" s="163"/>
    </row>
    <row r="44" spans="1:31" ht="15.75" x14ac:dyDescent="0.25">
      <c r="A44" s="36"/>
      <c r="B44" s="334" t="s">
        <v>353</v>
      </c>
      <c r="C44" s="335" t="str">
        <f>VLOOKUP($O$3,$O$106:$R$134,4)</f>
        <v>2014/15</v>
      </c>
      <c r="D44" s="387"/>
      <c r="E44" s="387"/>
      <c r="F44" s="388"/>
      <c r="G44" s="388"/>
      <c r="H44" s="388"/>
      <c r="I44" s="82"/>
      <c r="J44" s="574"/>
      <c r="K44" s="385">
        <f>J44/'WK4 - PGI summary'!H9</f>
        <v>0</v>
      </c>
      <c r="L44" s="82"/>
      <c r="M44" s="82"/>
      <c r="N44" s="82"/>
      <c r="O44" s="82"/>
      <c r="P44" s="38"/>
      <c r="Q44" s="45"/>
      <c r="T44"/>
      <c r="V44" s="163"/>
      <c r="W44" s="163"/>
      <c r="X44" s="163"/>
      <c r="Y44" s="163"/>
      <c r="Z44" s="163"/>
      <c r="AA44" s="163"/>
      <c r="AB44" s="163"/>
      <c r="AC44" s="163"/>
      <c r="AD44" s="163"/>
    </row>
    <row r="45" spans="1:31" ht="15.75" x14ac:dyDescent="0.25">
      <c r="A45" s="36"/>
      <c r="B45" s="334" t="s">
        <v>331</v>
      </c>
      <c r="C45" s="335" t="str">
        <f>VLOOKUP($O$3,$O$106:$R$133,2)</f>
        <v>2015/16</v>
      </c>
      <c r="D45" s="604">
        <f>E45+L24+M33</f>
        <v>3.8885007609247395E-2</v>
      </c>
      <c r="E45" s="603">
        <v>2.4E-2</v>
      </c>
      <c r="F45" s="336">
        <f>IF(D45=0,"",D45)</f>
        <v>3.8885007609247395E-2</v>
      </c>
      <c r="G45" s="385">
        <f>IF(E45="","",E45)</f>
        <v>2.4E-2</v>
      </c>
      <c r="H45" s="385">
        <f>IF(D45=0,"",F45-G45)</f>
        <v>1.4885007609247394E-2</v>
      </c>
      <c r="I45" s="82"/>
      <c r="J45" s="574"/>
      <c r="K45" s="82"/>
      <c r="L45" s="82"/>
      <c r="M45" s="82"/>
      <c r="N45" s="82"/>
      <c r="O45" s="82"/>
      <c r="P45" s="38"/>
      <c r="Q45" s="45"/>
      <c r="T45"/>
      <c r="V45" s="163"/>
      <c r="W45" s="163"/>
      <c r="X45" s="163"/>
      <c r="Y45" s="163"/>
      <c r="Z45" s="163"/>
      <c r="AA45" s="163"/>
      <c r="AB45" s="163"/>
      <c r="AC45" s="163"/>
      <c r="AD45" s="163"/>
    </row>
    <row r="46" spans="1:31" ht="15.75" x14ac:dyDescent="0.25">
      <c r="A46" s="36"/>
      <c r="B46" s="334" t="s">
        <v>332</v>
      </c>
      <c r="C46" s="335" t="str">
        <f t="shared" ref="C46:C51" si="0">IF(C44="date","date",(VLOOKUP(C45,$P$106:$R$133,2)))</f>
        <v>2016/17</v>
      </c>
      <c r="D46" s="554">
        <v>0.03</v>
      </c>
      <c r="E46" s="385">
        <v>0.03</v>
      </c>
      <c r="F46" s="336">
        <f t="shared" ref="F46:F51" si="1">IF(D46=0,"",($D$43+F45)*D46+F45)</f>
        <v>7.0051557837524814E-2</v>
      </c>
      <c r="G46" s="385">
        <f t="shared" ref="G46:G51" si="2">IF(E46="","",($D$43+G45)*E46+G45)</f>
        <v>5.4720000000000005E-2</v>
      </c>
      <c r="H46" s="385">
        <f t="shared" ref="H46:H51" si="3">IF(D46="","",F46-G46)</f>
        <v>1.5331557837524809E-2</v>
      </c>
      <c r="I46" s="82"/>
      <c r="J46" s="574"/>
      <c r="K46" s="82"/>
      <c r="L46" s="82"/>
      <c r="M46" s="82"/>
      <c r="N46" s="82"/>
      <c r="O46" s="82"/>
      <c r="P46" s="38"/>
      <c r="Q46" s="45"/>
      <c r="T46"/>
      <c r="V46" s="163"/>
      <c r="W46" s="163"/>
      <c r="X46" s="163"/>
      <c r="Y46" s="163"/>
      <c r="Z46" s="163"/>
      <c r="AA46" s="163"/>
      <c r="AB46" s="163"/>
      <c r="AC46" s="163"/>
      <c r="AD46" s="163"/>
    </row>
    <row r="47" spans="1:31" ht="15.75" x14ac:dyDescent="0.25">
      <c r="A47" s="36"/>
      <c r="B47" s="334" t="s">
        <v>333</v>
      </c>
      <c r="C47" s="335" t="str">
        <f t="shared" si="0"/>
        <v>2017/18</v>
      </c>
      <c r="D47" s="554">
        <v>0.03</v>
      </c>
      <c r="E47" s="385">
        <v>0.03</v>
      </c>
      <c r="F47" s="336">
        <f t="shared" si="1"/>
        <v>0.10215310457265056</v>
      </c>
      <c r="G47" s="385">
        <f t="shared" si="2"/>
        <v>8.6361600000000011E-2</v>
      </c>
      <c r="H47" s="385">
        <f t="shared" si="3"/>
        <v>1.579150457265055E-2</v>
      </c>
      <c r="I47" s="82"/>
      <c r="J47" s="574"/>
      <c r="K47" s="82"/>
      <c r="L47" s="82"/>
      <c r="M47" s="82"/>
      <c r="N47" s="82"/>
      <c r="O47" s="82"/>
      <c r="P47" s="38"/>
      <c r="Q47" s="45"/>
      <c r="T47"/>
      <c r="V47" s="163"/>
      <c r="W47" s="163"/>
      <c r="X47" s="163"/>
      <c r="Y47" s="163"/>
      <c r="Z47" s="163"/>
      <c r="AA47" s="163"/>
      <c r="AB47" s="163"/>
      <c r="AC47" s="163"/>
      <c r="AD47" s="163"/>
    </row>
    <row r="48" spans="1:31" ht="15.75" x14ac:dyDescent="0.25">
      <c r="A48" s="36"/>
      <c r="B48" s="334" t="s">
        <v>334</v>
      </c>
      <c r="C48" s="335" t="str">
        <f t="shared" si="0"/>
        <v>2018/19</v>
      </c>
      <c r="D48" s="185">
        <v>0.03</v>
      </c>
      <c r="E48" s="385">
        <v>0.03</v>
      </c>
      <c r="F48" s="336">
        <f t="shared" si="1"/>
        <v>0.13521769770983008</v>
      </c>
      <c r="G48" s="385">
        <f t="shared" si="2"/>
        <v>0.11895244800000002</v>
      </c>
      <c r="H48" s="385">
        <f t="shared" si="3"/>
        <v>1.6265249709830065E-2</v>
      </c>
      <c r="I48" s="82"/>
      <c r="J48" s="574"/>
      <c r="K48" s="82"/>
      <c r="L48" s="82"/>
      <c r="M48" s="82"/>
      <c r="N48" s="82"/>
      <c r="O48" s="82"/>
      <c r="P48" s="38"/>
      <c r="Q48" s="45"/>
      <c r="T48"/>
      <c r="V48" s="163"/>
      <c r="W48" s="163"/>
      <c r="X48" s="163"/>
      <c r="Y48" s="163"/>
      <c r="Z48" s="163"/>
      <c r="AA48" s="163"/>
      <c r="AB48" s="163"/>
      <c r="AC48" s="163"/>
      <c r="AD48" s="163"/>
    </row>
    <row r="49" spans="1:30" ht="15.75" x14ac:dyDescent="0.25">
      <c r="A49" s="36"/>
      <c r="B49" s="334" t="s">
        <v>335</v>
      </c>
      <c r="C49" s="335" t="str">
        <f t="shared" si="0"/>
        <v>2019/20</v>
      </c>
      <c r="D49" s="185">
        <v>0.03</v>
      </c>
      <c r="E49" s="385">
        <v>0.03</v>
      </c>
      <c r="F49" s="336">
        <f t="shared" si="1"/>
        <v>0.16927422864112499</v>
      </c>
      <c r="G49" s="385">
        <f t="shared" si="2"/>
        <v>0.15252102144000002</v>
      </c>
      <c r="H49" s="385">
        <f t="shared" si="3"/>
        <v>1.675320720112497E-2</v>
      </c>
      <c r="I49" s="82"/>
      <c r="J49" s="574"/>
      <c r="K49" s="82"/>
      <c r="L49" s="82"/>
      <c r="M49" s="82"/>
      <c r="N49" s="82"/>
      <c r="O49" s="82"/>
      <c r="P49" s="38"/>
      <c r="Q49" s="45"/>
      <c r="T49"/>
      <c r="V49" s="163"/>
      <c r="W49" s="163"/>
      <c r="X49" s="163"/>
      <c r="Y49" s="163"/>
      <c r="Z49" s="163"/>
      <c r="AA49" s="163"/>
      <c r="AB49" s="163"/>
      <c r="AC49" s="163"/>
      <c r="AD49" s="163"/>
    </row>
    <row r="50" spans="1:30" ht="15.75" x14ac:dyDescent="0.25">
      <c r="A50" s="36"/>
      <c r="B50" s="334" t="s">
        <v>336</v>
      </c>
      <c r="C50" s="335" t="str">
        <f t="shared" si="0"/>
        <v>2020/21</v>
      </c>
      <c r="D50" s="185">
        <v>0.03</v>
      </c>
      <c r="E50" s="385">
        <v>0.03</v>
      </c>
      <c r="F50" s="336">
        <f t="shared" si="1"/>
        <v>0.20435245550035874</v>
      </c>
      <c r="G50" s="385">
        <f t="shared" si="2"/>
        <v>0.18709665208320003</v>
      </c>
      <c r="H50" s="385">
        <f t="shared" si="3"/>
        <v>1.725580341715871E-2</v>
      </c>
      <c r="I50" s="82"/>
      <c r="J50" s="574"/>
      <c r="K50" s="82"/>
      <c r="L50" s="82"/>
      <c r="M50" s="82"/>
      <c r="N50" s="82"/>
      <c r="O50" s="82"/>
      <c r="P50" s="38"/>
      <c r="Q50" s="45"/>
      <c r="T50"/>
      <c r="V50" s="163"/>
      <c r="W50" s="163"/>
      <c r="X50" s="163"/>
      <c r="Y50" s="163"/>
      <c r="Z50" s="163"/>
      <c r="AA50" s="163"/>
      <c r="AB50" s="163"/>
      <c r="AC50" s="163"/>
      <c r="AD50" s="163"/>
    </row>
    <row r="51" spans="1:30" ht="15.75" x14ac:dyDescent="0.25">
      <c r="A51" s="36"/>
      <c r="B51" s="334" t="s">
        <v>337</v>
      </c>
      <c r="C51" s="335" t="str">
        <f t="shared" si="0"/>
        <v>2021/22</v>
      </c>
      <c r="D51" s="185">
        <v>0.03</v>
      </c>
      <c r="E51" s="385">
        <v>0.03</v>
      </c>
      <c r="F51" s="336">
        <f t="shared" si="1"/>
        <v>0.24048302916536951</v>
      </c>
      <c r="G51" s="385">
        <f t="shared" si="2"/>
        <v>0.22270955164569603</v>
      </c>
      <c r="H51" s="385">
        <f t="shared" si="3"/>
        <v>1.7773477519673481E-2</v>
      </c>
      <c r="I51" s="82"/>
      <c r="J51" s="574"/>
      <c r="K51" s="82"/>
      <c r="L51" s="82"/>
      <c r="M51" s="82"/>
      <c r="N51" s="82"/>
      <c r="O51" s="82"/>
      <c r="P51" s="38"/>
      <c r="Q51" s="45"/>
      <c r="T51"/>
      <c r="V51" s="163"/>
      <c r="W51" s="163"/>
      <c r="X51" s="163"/>
      <c r="Y51" s="163"/>
      <c r="Z51" s="163"/>
      <c r="AA51" s="163"/>
      <c r="AB51" s="163"/>
      <c r="AC51" s="163"/>
      <c r="AD51" s="163"/>
    </row>
    <row r="52" spans="1:30" ht="15.75" x14ac:dyDescent="0.25">
      <c r="A52" s="36"/>
      <c r="B52" s="328"/>
      <c r="C52" s="435"/>
      <c r="D52" s="438"/>
      <c r="E52" s="436"/>
      <c r="F52" s="437"/>
      <c r="G52" s="436"/>
      <c r="H52" s="82"/>
      <c r="I52" s="82"/>
      <c r="J52" s="82"/>
      <c r="K52" s="82"/>
      <c r="L52" s="82"/>
      <c r="M52" s="82"/>
      <c r="N52" s="82"/>
      <c r="O52" s="82"/>
      <c r="P52" s="38"/>
      <c r="Q52" s="45"/>
      <c r="T52"/>
      <c r="V52" s="163"/>
      <c r="W52" s="163"/>
      <c r="X52" s="163"/>
      <c r="Y52" s="163"/>
      <c r="Z52" s="163"/>
      <c r="AA52" s="163"/>
      <c r="AB52" s="163"/>
      <c r="AC52" s="163"/>
      <c r="AD52" s="163"/>
    </row>
    <row r="53" spans="1:30" s="482" customFormat="1" ht="27.75" customHeight="1" x14ac:dyDescent="0.25">
      <c r="A53" s="488"/>
      <c r="B53" s="489" t="s">
        <v>451</v>
      </c>
      <c r="D53" s="490"/>
      <c r="F53" s="490"/>
      <c r="G53" s="490"/>
      <c r="H53" s="490"/>
      <c r="I53" s="490"/>
      <c r="J53" s="490"/>
      <c r="K53" s="490"/>
      <c r="L53" s="490"/>
      <c r="M53" s="490"/>
      <c r="N53" s="490"/>
      <c r="O53" s="490"/>
      <c r="P53" s="490"/>
      <c r="Q53" s="491"/>
      <c r="R53" s="492"/>
      <c r="S53" s="492"/>
      <c r="T53" s="492"/>
      <c r="U53" s="493"/>
      <c r="V53" s="492"/>
      <c r="W53" s="492"/>
      <c r="X53" s="492"/>
      <c r="Y53" s="492"/>
      <c r="Z53" s="492"/>
      <c r="AA53" s="492"/>
      <c r="AB53" s="492"/>
      <c r="AC53" s="492"/>
      <c r="AD53" s="492"/>
    </row>
    <row r="54" spans="1:30" s="482" customFormat="1" x14ac:dyDescent="0.2">
      <c r="A54" s="488"/>
      <c r="B54" s="490"/>
      <c r="C54" s="490"/>
      <c r="D54" s="490"/>
      <c r="E54" s="490"/>
      <c r="F54" s="490"/>
      <c r="G54" s="490"/>
      <c r="H54" s="490"/>
      <c r="I54" s="490"/>
      <c r="J54" s="490"/>
      <c r="K54" s="490"/>
      <c r="L54" s="490"/>
      <c r="M54" s="490"/>
      <c r="N54" s="490"/>
      <c r="O54" s="490"/>
      <c r="P54" s="490"/>
      <c r="Q54" s="491"/>
      <c r="R54" s="492"/>
      <c r="S54" s="492"/>
      <c r="T54" s="492"/>
      <c r="U54" s="492"/>
      <c r="V54" s="492"/>
      <c r="W54" s="492"/>
      <c r="X54" s="492"/>
      <c r="Y54" s="492"/>
      <c r="Z54" s="492"/>
      <c r="AA54" s="492"/>
      <c r="AB54" s="492"/>
      <c r="AC54" s="492"/>
      <c r="AD54" s="492"/>
    </row>
    <row r="55" spans="1:30" s="482" customFormat="1" ht="69.75" customHeight="1" x14ac:dyDescent="0.25">
      <c r="A55" s="488"/>
      <c r="B55" s="494"/>
      <c r="C55" s="495"/>
      <c r="D55" s="496" t="s">
        <v>642</v>
      </c>
      <c r="E55" s="497" t="s">
        <v>441</v>
      </c>
      <c r="F55" s="497" t="str">
        <f>K69</f>
        <v>Annual $ increase in PGI</v>
      </c>
      <c r="G55" s="497" t="str">
        <f>L69</f>
        <v>Annual % increase in PGI</v>
      </c>
      <c r="H55" s="496" t="str">
        <f>N69</f>
        <v>Annual $ increase in PGI above the rate peg</v>
      </c>
      <c r="I55" s="490"/>
      <c r="J55" s="490"/>
      <c r="K55" s="490"/>
      <c r="L55" s="490"/>
      <c r="M55" s="490"/>
      <c r="N55" s="490"/>
      <c r="O55" s="490"/>
      <c r="P55" s="490"/>
      <c r="Q55" s="491"/>
      <c r="R55" s="492"/>
      <c r="S55" s="492"/>
      <c r="T55" s="492"/>
      <c r="U55" s="492"/>
      <c r="V55" s="492"/>
      <c r="W55" s="492"/>
      <c r="X55" s="492"/>
      <c r="Y55" s="492"/>
      <c r="Z55" s="492"/>
      <c r="AA55" s="492"/>
      <c r="AB55" s="492"/>
      <c r="AC55" s="492"/>
    </row>
    <row r="56" spans="1:30" s="482" customFormat="1" ht="15" x14ac:dyDescent="0.25">
      <c r="A56" s="488"/>
      <c r="B56" s="498" t="s">
        <v>353</v>
      </c>
      <c r="C56" s="499" t="str">
        <f>C44</f>
        <v>2014/15</v>
      </c>
      <c r="D56" s="502">
        <f>J70</f>
        <v>56720696.569452003</v>
      </c>
      <c r="E56" s="502">
        <f>J44</f>
        <v>0</v>
      </c>
      <c r="F56" s="502"/>
      <c r="G56" s="500"/>
      <c r="H56" s="500"/>
      <c r="I56" s="490"/>
      <c r="J56" s="490"/>
      <c r="K56" s="680"/>
      <c r="L56" s="490"/>
      <c r="M56" s="490"/>
      <c r="N56" s="490"/>
      <c r="O56" s="490"/>
      <c r="P56" s="490"/>
      <c r="Q56" s="491"/>
      <c r="R56" s="493"/>
      <c r="S56" s="493"/>
      <c r="T56" s="492"/>
      <c r="U56" s="492"/>
      <c r="V56" s="492"/>
      <c r="W56" s="492"/>
      <c r="X56" s="492"/>
      <c r="Y56" s="492"/>
      <c r="Z56" s="492"/>
      <c r="AA56" s="492"/>
      <c r="AB56" s="492"/>
      <c r="AC56" s="492"/>
    </row>
    <row r="57" spans="1:30" s="482" customFormat="1" ht="15" x14ac:dyDescent="0.25">
      <c r="A57" s="488"/>
      <c r="B57" s="498" t="s">
        <v>331</v>
      </c>
      <c r="C57" s="499" t="str">
        <f t="shared" ref="C57:C63" si="4">C45</f>
        <v>2015/16</v>
      </c>
      <c r="D57" s="502">
        <f t="shared" ref="D57:D63" si="5">J71</f>
        <v>59026999.287156947</v>
      </c>
      <c r="E57" s="502">
        <f t="shared" ref="E57:E63" si="6">J45</f>
        <v>0</v>
      </c>
      <c r="F57" s="502">
        <f t="shared" ref="F57:G63" si="7">K71</f>
        <v>2306302.7177049443</v>
      </c>
      <c r="G57" s="555">
        <f t="shared" si="7"/>
        <v>4.0660691020974582</v>
      </c>
      <c r="H57" s="556">
        <f t="shared" ref="H57:H63" si="8">N71</f>
        <v>743570.00003809482</v>
      </c>
      <c r="I57" s="681"/>
      <c r="J57" s="679"/>
      <c r="K57" s="682"/>
      <c r="L57" s="490"/>
      <c r="M57" s="490"/>
      <c r="N57" s="490"/>
      <c r="O57" s="490"/>
      <c r="P57" s="490"/>
      <c r="Q57" s="491"/>
      <c r="R57" s="493"/>
      <c r="S57" s="493"/>
      <c r="T57" s="492"/>
      <c r="U57" s="492"/>
      <c r="V57" s="492"/>
      <c r="W57" s="492"/>
      <c r="X57" s="492"/>
      <c r="Y57" s="492"/>
      <c r="Z57" s="492"/>
      <c r="AA57" s="492"/>
      <c r="AB57" s="492"/>
      <c r="AC57" s="492"/>
    </row>
    <row r="58" spans="1:30" s="482" customFormat="1" ht="15" x14ac:dyDescent="0.25">
      <c r="A58" s="488"/>
      <c r="B58" s="498" t="s">
        <v>332</v>
      </c>
      <c r="C58" s="499" t="str">
        <f t="shared" si="4"/>
        <v>2016/17</v>
      </c>
      <c r="D58" s="502">
        <f t="shared" si="5"/>
        <v>60797809.265771657</v>
      </c>
      <c r="E58" s="502">
        <f t="shared" si="6"/>
        <v>0</v>
      </c>
      <c r="F58" s="502">
        <f t="shared" si="7"/>
        <v>1770809.9786147103</v>
      </c>
      <c r="G58" s="555">
        <f t="shared" si="7"/>
        <v>3.0000000000000027</v>
      </c>
      <c r="H58" s="556">
        <f t="shared" si="8"/>
        <v>25328.640001140535</v>
      </c>
      <c r="I58" s="490"/>
      <c r="J58" s="490"/>
      <c r="K58" s="490"/>
      <c r="L58" s="490"/>
      <c r="M58" s="490"/>
      <c r="N58" s="490"/>
      <c r="O58" s="490"/>
      <c r="P58" s="490"/>
      <c r="Q58" s="491"/>
      <c r="R58" s="493"/>
      <c r="S58" s="493"/>
      <c r="T58" s="492"/>
      <c r="U58" s="492"/>
      <c r="V58" s="492"/>
      <c r="W58" s="492"/>
      <c r="X58" s="492"/>
      <c r="Y58" s="492"/>
      <c r="Z58" s="492"/>
      <c r="AA58" s="492"/>
      <c r="AB58" s="492"/>
      <c r="AC58" s="492"/>
    </row>
    <row r="59" spans="1:30" s="482" customFormat="1" ht="15" x14ac:dyDescent="0.25">
      <c r="A59" s="488"/>
      <c r="B59" s="498" t="s">
        <v>333</v>
      </c>
      <c r="C59" s="499" t="str">
        <f t="shared" si="4"/>
        <v>2017/18</v>
      </c>
      <c r="D59" s="502">
        <f t="shared" si="5"/>
        <v>62621743.54374481</v>
      </c>
      <c r="E59" s="502">
        <f t="shared" si="6"/>
        <v>0</v>
      </c>
      <c r="F59" s="502">
        <f t="shared" si="7"/>
        <v>1823934.2779731527</v>
      </c>
      <c r="G59" s="555">
        <f t="shared" si="7"/>
        <v>3.0000000000000027</v>
      </c>
      <c r="H59" s="556">
        <f t="shared" si="8"/>
        <v>26088.499201178551</v>
      </c>
      <c r="I59" s="490"/>
      <c r="J59" s="490"/>
      <c r="K59" s="490"/>
      <c r="L59" s="490"/>
      <c r="M59" s="490"/>
      <c r="N59" s="490"/>
      <c r="O59" s="490"/>
      <c r="P59" s="490"/>
      <c r="Q59" s="491"/>
      <c r="R59" s="493"/>
      <c r="S59" s="493"/>
      <c r="T59" s="492"/>
      <c r="U59" s="492"/>
      <c r="V59" s="492"/>
      <c r="W59" s="492"/>
      <c r="X59" s="492"/>
      <c r="Y59" s="492"/>
      <c r="Z59" s="492"/>
      <c r="AA59" s="492"/>
      <c r="AB59" s="492"/>
      <c r="AC59" s="492"/>
    </row>
    <row r="60" spans="1:30" s="482" customFormat="1" ht="15" x14ac:dyDescent="0.25">
      <c r="A60" s="488"/>
      <c r="B60" s="498" t="s">
        <v>334</v>
      </c>
      <c r="C60" s="499" t="str">
        <f t="shared" si="4"/>
        <v>2018/19</v>
      </c>
      <c r="D60" s="502">
        <f t="shared" si="5"/>
        <v>64500395.850057155</v>
      </c>
      <c r="E60" s="502">
        <f t="shared" si="6"/>
        <v>0</v>
      </c>
      <c r="F60" s="502">
        <f t="shared" si="7"/>
        <v>1878652.306312345</v>
      </c>
      <c r="G60" s="555">
        <f t="shared" si="7"/>
        <v>3.0000000000000027</v>
      </c>
      <c r="H60" s="556">
        <f t="shared" si="8"/>
        <v>26871.154177211225</v>
      </c>
      <c r="I60" s="490"/>
      <c r="J60" s="490"/>
      <c r="K60" s="490"/>
      <c r="L60" s="490"/>
      <c r="M60" s="490"/>
      <c r="N60" s="490"/>
      <c r="O60" s="490"/>
      <c r="P60" s="490"/>
      <c r="Q60" s="491"/>
      <c r="R60" s="493"/>
      <c r="S60" s="493"/>
      <c r="T60" s="492"/>
      <c r="U60" s="492"/>
      <c r="V60" s="492"/>
      <c r="W60" s="492"/>
      <c r="X60" s="492"/>
      <c r="Y60" s="492"/>
      <c r="Z60" s="492"/>
      <c r="AA60" s="492"/>
      <c r="AB60" s="492"/>
      <c r="AC60" s="492"/>
    </row>
    <row r="61" spans="1:30" s="482" customFormat="1" ht="15" x14ac:dyDescent="0.25">
      <c r="A61" s="488"/>
      <c r="B61" s="498" t="s">
        <v>335</v>
      </c>
      <c r="C61" s="499" t="str">
        <f t="shared" si="4"/>
        <v>2019/20</v>
      </c>
      <c r="D61" s="502">
        <f t="shared" si="5"/>
        <v>66435407.72555887</v>
      </c>
      <c r="E61" s="502">
        <f t="shared" si="6"/>
        <v>0</v>
      </c>
      <c r="F61" s="502">
        <f t="shared" si="7"/>
        <v>1935011.8755017146</v>
      </c>
      <c r="G61" s="555">
        <f t="shared" si="7"/>
        <v>3.0000000000000027</v>
      </c>
      <c r="H61" s="556">
        <f t="shared" si="8"/>
        <v>27677.288802526891</v>
      </c>
      <c r="I61" s="490"/>
      <c r="J61" s="490"/>
      <c r="K61" s="490"/>
      <c r="L61" s="490"/>
      <c r="M61" s="490"/>
      <c r="N61" s="490"/>
      <c r="O61" s="490"/>
      <c r="P61" s="490"/>
      <c r="Q61" s="491"/>
      <c r="R61" s="493"/>
      <c r="S61" s="493"/>
      <c r="T61" s="492"/>
      <c r="U61" s="492"/>
      <c r="V61" s="492"/>
      <c r="W61" s="492"/>
      <c r="X61" s="492"/>
      <c r="Y61" s="492"/>
      <c r="Z61" s="492"/>
      <c r="AA61" s="492"/>
      <c r="AB61" s="492"/>
      <c r="AC61" s="492"/>
    </row>
    <row r="62" spans="1:30" s="482" customFormat="1" ht="15" x14ac:dyDescent="0.25">
      <c r="A62" s="488"/>
      <c r="B62" s="498" t="s">
        <v>336</v>
      </c>
      <c r="C62" s="499" t="str">
        <f t="shared" si="4"/>
        <v>2020/21</v>
      </c>
      <c r="D62" s="502">
        <f t="shared" si="5"/>
        <v>68428469.957325637</v>
      </c>
      <c r="E62" s="502">
        <f t="shared" si="6"/>
        <v>0</v>
      </c>
      <c r="F62" s="502">
        <f t="shared" si="7"/>
        <v>1993062.2317667678</v>
      </c>
      <c r="G62" s="555">
        <f t="shared" si="7"/>
        <v>3.0000000000000027</v>
      </c>
      <c r="H62" s="556">
        <f t="shared" si="8"/>
        <v>28507.607466608286</v>
      </c>
      <c r="I62" s="490"/>
      <c r="J62" s="490"/>
      <c r="K62" s="490"/>
      <c r="L62" s="490"/>
      <c r="M62" s="490"/>
      <c r="N62" s="490"/>
      <c r="O62" s="490"/>
      <c r="P62" s="490"/>
      <c r="Q62" s="491"/>
      <c r="R62" s="493"/>
      <c r="S62" s="493"/>
      <c r="T62" s="492"/>
      <c r="U62" s="492"/>
      <c r="V62" s="492"/>
      <c r="W62" s="492"/>
      <c r="X62" s="492"/>
      <c r="Y62" s="492"/>
      <c r="Z62" s="492"/>
      <c r="AA62" s="492"/>
      <c r="AB62" s="492"/>
      <c r="AC62" s="492"/>
    </row>
    <row r="63" spans="1:30" s="482" customFormat="1" ht="15" x14ac:dyDescent="0.25">
      <c r="A63" s="488"/>
      <c r="B63" s="498" t="s">
        <v>337</v>
      </c>
      <c r="C63" s="499" t="str">
        <f t="shared" si="4"/>
        <v>2021/22</v>
      </c>
      <c r="D63" s="502">
        <f t="shared" si="5"/>
        <v>70481324.056045413</v>
      </c>
      <c r="E63" s="502">
        <f t="shared" si="6"/>
        <v>0</v>
      </c>
      <c r="F63" s="502">
        <f t="shared" si="7"/>
        <v>2052854.0987197757</v>
      </c>
      <c r="G63" s="555">
        <f t="shared" si="7"/>
        <v>3.0000000000000027</v>
      </c>
      <c r="H63" s="556">
        <f t="shared" si="8"/>
        <v>29362.83569060266</v>
      </c>
      <c r="I63" s="490"/>
      <c r="J63" s="490"/>
      <c r="K63" s="490"/>
      <c r="L63" s="490"/>
      <c r="M63" s="490"/>
      <c r="N63" s="490"/>
      <c r="O63" s="490"/>
      <c r="P63" s="490"/>
      <c r="Q63" s="491"/>
      <c r="R63" s="493"/>
      <c r="S63" s="493"/>
      <c r="T63" s="492"/>
      <c r="U63" s="492"/>
      <c r="V63" s="492"/>
      <c r="W63" s="492"/>
      <c r="X63" s="492"/>
      <c r="Y63" s="492"/>
      <c r="Z63" s="492"/>
      <c r="AA63" s="492"/>
      <c r="AB63" s="492"/>
      <c r="AC63" s="492"/>
    </row>
    <row r="64" spans="1:30" s="482" customFormat="1" ht="15" x14ac:dyDescent="0.25">
      <c r="A64" s="488"/>
      <c r="B64" s="502" t="s">
        <v>643</v>
      </c>
      <c r="C64" s="557"/>
      <c r="D64" s="502">
        <f>J78</f>
        <v>13760627.48659341</v>
      </c>
      <c r="E64" s="490"/>
      <c r="F64" s="490"/>
      <c r="G64" s="490"/>
      <c r="H64" s="490"/>
      <c r="I64" s="490"/>
      <c r="J64" s="490"/>
      <c r="K64" s="490"/>
      <c r="L64" s="490"/>
      <c r="M64" s="490"/>
      <c r="N64" s="490"/>
      <c r="O64" s="490"/>
      <c r="P64" s="490"/>
      <c r="Q64" s="491"/>
      <c r="R64" s="493"/>
      <c r="S64" s="493"/>
      <c r="T64" s="492"/>
      <c r="U64" s="492"/>
      <c r="V64" s="492"/>
      <c r="W64" s="492"/>
      <c r="X64" s="492"/>
      <c r="Y64" s="492"/>
      <c r="Z64" s="492"/>
      <c r="AA64" s="492"/>
      <c r="AB64" s="492"/>
      <c r="AC64" s="492"/>
    </row>
    <row r="65" spans="1:30" s="482" customFormat="1" ht="15.75" x14ac:dyDescent="0.25">
      <c r="A65" s="488"/>
      <c r="B65" s="502" t="s">
        <v>644</v>
      </c>
      <c r="C65" s="557"/>
      <c r="D65" s="558">
        <f>J79</f>
        <v>0.24260328802105113</v>
      </c>
      <c r="E65" s="490"/>
      <c r="F65" s="490"/>
      <c r="G65" s="490"/>
      <c r="H65" s="490"/>
      <c r="I65" s="490"/>
      <c r="J65" s="490"/>
      <c r="K65" s="513"/>
      <c r="L65" s="514"/>
      <c r="M65" s="490"/>
      <c r="N65" s="490"/>
      <c r="O65" s="490"/>
      <c r="P65" s="490"/>
      <c r="Q65" s="491"/>
      <c r="R65" s="515"/>
      <c r="T65" s="492"/>
      <c r="U65" s="492"/>
      <c r="V65" s="492"/>
      <c r="W65" s="492"/>
      <c r="X65" s="492"/>
      <c r="Y65" s="492"/>
      <c r="Z65" s="492"/>
      <c r="AA65" s="492"/>
      <c r="AB65" s="492"/>
      <c r="AC65" s="492"/>
    </row>
    <row r="66" spans="1:30" s="482" customFormat="1" ht="15.75" x14ac:dyDescent="0.25">
      <c r="A66" s="488"/>
      <c r="B66" s="559"/>
      <c r="C66" s="557"/>
      <c r="D66" s="560"/>
      <c r="E66" s="561"/>
      <c r="F66" s="562"/>
      <c r="G66" s="561"/>
      <c r="H66" s="563"/>
      <c r="I66" s="563"/>
      <c r="J66" s="563"/>
      <c r="K66" s="563"/>
      <c r="L66" s="563"/>
      <c r="M66" s="563"/>
      <c r="N66" s="563"/>
      <c r="O66" s="563"/>
      <c r="P66" s="490"/>
      <c r="Q66" s="491"/>
      <c r="S66" s="493"/>
      <c r="U66" s="493"/>
      <c r="V66" s="492"/>
      <c r="W66" s="492"/>
      <c r="X66" s="492"/>
      <c r="Y66" s="492"/>
      <c r="Z66" s="492"/>
      <c r="AA66" s="492"/>
      <c r="AB66" s="492"/>
      <c r="AC66" s="492"/>
      <c r="AD66" s="492"/>
    </row>
    <row r="67" spans="1:30" s="482" customFormat="1" ht="27.75" customHeight="1" x14ac:dyDescent="0.25">
      <c r="A67" s="488"/>
      <c r="B67" s="489" t="s">
        <v>645</v>
      </c>
      <c r="D67" s="490"/>
      <c r="F67" s="490"/>
      <c r="G67" s="490"/>
      <c r="H67" s="490"/>
      <c r="I67" s="490"/>
      <c r="J67" s="490"/>
      <c r="K67" s="490"/>
      <c r="L67" s="490"/>
      <c r="M67" s="490"/>
      <c r="N67" s="490"/>
      <c r="O67" s="490"/>
      <c r="P67" s="490"/>
      <c r="Q67" s="491"/>
      <c r="R67" s="492"/>
      <c r="S67" s="492"/>
      <c r="T67" s="492"/>
      <c r="U67" s="493"/>
      <c r="V67" s="492"/>
      <c r="W67" s="492"/>
      <c r="X67" s="492"/>
      <c r="Y67" s="492"/>
      <c r="Z67" s="492"/>
      <c r="AA67" s="492"/>
      <c r="AB67" s="492"/>
      <c r="AC67" s="492"/>
      <c r="AD67" s="492"/>
    </row>
    <row r="68" spans="1:30" s="482" customFormat="1" x14ac:dyDescent="0.2">
      <c r="A68" s="488"/>
      <c r="B68" s="490"/>
      <c r="C68" s="490"/>
      <c r="D68" s="490"/>
      <c r="E68" s="490"/>
      <c r="F68" s="490"/>
      <c r="G68" s="490"/>
      <c r="H68" s="490"/>
      <c r="I68" s="490"/>
      <c r="J68" s="490"/>
      <c r="K68" s="490"/>
      <c r="L68" s="490"/>
      <c r="M68" s="490"/>
      <c r="N68" s="490"/>
      <c r="O68" s="490"/>
      <c r="P68" s="490"/>
      <c r="Q68" s="491"/>
      <c r="R68" s="492"/>
      <c r="S68" s="492"/>
      <c r="T68" s="492"/>
      <c r="U68" s="492"/>
      <c r="V68" s="492"/>
      <c r="W68" s="492"/>
      <c r="X68" s="492"/>
      <c r="Y68" s="492"/>
      <c r="Z68" s="492"/>
      <c r="AA68" s="492"/>
      <c r="AB68" s="492"/>
      <c r="AC68" s="492"/>
      <c r="AD68" s="492"/>
    </row>
    <row r="69" spans="1:30" s="482" customFormat="1" ht="69.75" customHeight="1" x14ac:dyDescent="0.25">
      <c r="A69" s="488"/>
      <c r="B69" s="494"/>
      <c r="C69" s="495"/>
      <c r="D69" s="496" t="s">
        <v>438</v>
      </c>
      <c r="E69" s="497" t="s">
        <v>441</v>
      </c>
      <c r="F69" s="497" t="s">
        <v>439</v>
      </c>
      <c r="G69" s="497" t="s">
        <v>442</v>
      </c>
      <c r="H69" s="497" t="s">
        <v>443</v>
      </c>
      <c r="I69" s="497" t="s">
        <v>444</v>
      </c>
      <c r="J69" s="497" t="s">
        <v>452</v>
      </c>
      <c r="K69" s="497" t="s">
        <v>589</v>
      </c>
      <c r="L69" s="496" t="s">
        <v>453</v>
      </c>
      <c r="M69" s="496" t="s">
        <v>454</v>
      </c>
      <c r="N69" s="496" t="s">
        <v>590</v>
      </c>
      <c r="O69" s="496" t="s">
        <v>455</v>
      </c>
      <c r="P69" s="490"/>
      <c r="Q69" s="491"/>
      <c r="R69" s="492"/>
      <c r="S69" s="492"/>
      <c r="T69" s="492"/>
      <c r="U69" s="492"/>
      <c r="V69" s="492"/>
      <c r="W69" s="492"/>
      <c r="X69" s="492"/>
      <c r="Y69" s="492"/>
      <c r="Z69" s="492"/>
      <c r="AA69" s="492"/>
      <c r="AB69" s="492"/>
      <c r="AC69" s="492"/>
    </row>
    <row r="70" spans="1:30" s="482" customFormat="1" ht="15" x14ac:dyDescent="0.25">
      <c r="A70" s="488"/>
      <c r="B70" s="498" t="s">
        <v>353</v>
      </c>
      <c r="C70" s="499" t="str">
        <f t="shared" ref="C70:C77" si="9">C44</f>
        <v>2014/15</v>
      </c>
      <c r="D70" s="500"/>
      <c r="E70" s="501"/>
      <c r="G70" s="500"/>
      <c r="H70" s="500"/>
      <c r="I70" s="500"/>
      <c r="J70" s="502">
        <f>IF('WK4 - PGI summary'!H9=0,0,'WK4 - PGI summary'!H9)</f>
        <v>56720696.569452003</v>
      </c>
      <c r="K70" s="502" t="str">
        <f t="shared" ref="K70:K77" si="10">IF(D70="","",(J70-J69))</f>
        <v/>
      </c>
      <c r="L70" s="503"/>
      <c r="M70" s="502">
        <f>IF('WK4 - PGI summary'!H9=0,0,'WK4 - PGI summary'!H9)</f>
        <v>56720696.569452003</v>
      </c>
      <c r="N70" s="502"/>
      <c r="O70" s="502">
        <f>IF('WK4 - PGI summary'!H9=0,0,'WK4 - PGI summary'!H9)</f>
        <v>56720696.569452003</v>
      </c>
      <c r="P70" s="490"/>
      <c r="Q70" s="491"/>
      <c r="R70" s="493"/>
      <c r="S70" s="493"/>
      <c r="T70" s="492"/>
      <c r="U70" s="492"/>
      <c r="V70" s="492"/>
      <c r="W70" s="492"/>
      <c r="X70" s="492"/>
      <c r="Y70" s="492"/>
      <c r="Z70" s="492"/>
      <c r="AA70" s="492"/>
      <c r="AB70" s="492"/>
      <c r="AC70" s="492"/>
    </row>
    <row r="71" spans="1:30" s="482" customFormat="1" ht="15" x14ac:dyDescent="0.25">
      <c r="A71" s="488"/>
      <c r="B71" s="498" t="s">
        <v>331</v>
      </c>
      <c r="C71" s="499" t="str">
        <f t="shared" si="9"/>
        <v>2015/16</v>
      </c>
      <c r="D71" s="502">
        <f t="shared" ref="D71:D77" si="11">IF(G71="","",J70)</f>
        <v>56720696.569452003</v>
      </c>
      <c r="E71" s="502">
        <f>E56</f>
        <v>0</v>
      </c>
      <c r="F71" s="502">
        <f>IF(D71="","",D71-E71)</f>
        <v>56720696.569452003</v>
      </c>
      <c r="G71" s="504">
        <f t="shared" ref="G71:G77" si="12">IF(D45="","",D45)</f>
        <v>3.8885007609247395E-2</v>
      </c>
      <c r="H71" s="505">
        <f t="shared" ref="H71:H77" si="13">IF(G71="","",(G71+1)*F71)</f>
        <v>58926281.287156947</v>
      </c>
      <c r="I71" s="502">
        <f>'WK4 - PGI summary'!H33</f>
        <v>100718</v>
      </c>
      <c r="J71" s="502">
        <f>H71+I71</f>
        <v>59026999.287156947</v>
      </c>
      <c r="K71" s="502">
        <f t="shared" si="10"/>
        <v>2306302.7177049443</v>
      </c>
      <c r="L71" s="506">
        <f>IF(D71=0,"",(J71/D71-1)*100)</f>
        <v>4.0660691020974582</v>
      </c>
      <c r="M71" s="505">
        <f>F71*(1+E45)+I71</f>
        <v>58182711.287118852</v>
      </c>
      <c r="N71" s="505">
        <f>IF(D71="","",(K71-(M71-M70+I71)))</f>
        <v>743570.00003809482</v>
      </c>
      <c r="O71" s="505">
        <f>D71*(1+E45)+I71</f>
        <v>58182711.287118852</v>
      </c>
      <c r="P71" s="490"/>
      <c r="Q71" s="491"/>
      <c r="R71" s="493"/>
      <c r="S71" s="493"/>
      <c r="T71" s="492"/>
      <c r="U71" s="492"/>
      <c r="V71" s="492"/>
      <c r="W71" s="492"/>
      <c r="X71" s="492"/>
      <c r="Y71" s="492"/>
      <c r="Z71" s="492"/>
      <c r="AA71" s="492"/>
      <c r="AB71" s="492"/>
      <c r="AC71" s="492"/>
    </row>
    <row r="72" spans="1:30" s="482" customFormat="1" ht="15" x14ac:dyDescent="0.25">
      <c r="A72" s="488"/>
      <c r="B72" s="498" t="s">
        <v>332</v>
      </c>
      <c r="C72" s="499" t="str">
        <f t="shared" si="9"/>
        <v>2016/17</v>
      </c>
      <c r="D72" s="502">
        <f t="shared" si="11"/>
        <v>59026999.287156947</v>
      </c>
      <c r="E72" s="502">
        <f t="shared" ref="E72:E77" si="14">E57</f>
        <v>0</v>
      </c>
      <c r="F72" s="502">
        <f t="shared" ref="F72:F77" si="15">IF(D72="","",D72-E72)</f>
        <v>59026999.287156947</v>
      </c>
      <c r="G72" s="504">
        <f t="shared" si="12"/>
        <v>0.03</v>
      </c>
      <c r="H72" s="505">
        <f t="shared" si="13"/>
        <v>60797809.265771657</v>
      </c>
      <c r="I72" s="500"/>
      <c r="J72" s="502">
        <f t="shared" ref="J72:J77" si="16">H72</f>
        <v>60797809.265771657</v>
      </c>
      <c r="K72" s="502">
        <f t="shared" si="10"/>
        <v>1770809.9786147103</v>
      </c>
      <c r="L72" s="506">
        <f t="shared" ref="L72:L77" si="17">IF(D72="","",(J72/D72-1)*100)</f>
        <v>3.0000000000000027</v>
      </c>
      <c r="M72" s="505">
        <f t="shared" ref="M72:M77" si="18">IF(F72="","",(M71*(1+E46))-E72)</f>
        <v>59928192.625732422</v>
      </c>
      <c r="N72" s="505">
        <f t="shared" ref="N72:N77" si="19">IF(D72="","",(K72-(M72-M71+I72)))</f>
        <v>25328.640001140535</v>
      </c>
      <c r="O72" s="505">
        <f t="shared" ref="O72:O77" si="20">IF(D72="","",O71*(1+E46))</f>
        <v>59928192.625732422</v>
      </c>
      <c r="P72" s="490"/>
      <c r="Q72" s="491"/>
      <c r="R72" s="493"/>
      <c r="S72" s="493"/>
      <c r="T72" s="492"/>
      <c r="U72" s="492"/>
      <c r="V72" s="492"/>
      <c r="W72" s="492"/>
      <c r="X72" s="492"/>
      <c r="Y72" s="492"/>
      <c r="Z72" s="492"/>
      <c r="AA72" s="492"/>
      <c r="AB72" s="492"/>
      <c r="AC72" s="492"/>
    </row>
    <row r="73" spans="1:30" s="482" customFormat="1" ht="15" x14ac:dyDescent="0.25">
      <c r="A73" s="488"/>
      <c r="B73" s="498" t="s">
        <v>333</v>
      </c>
      <c r="C73" s="499" t="str">
        <f t="shared" si="9"/>
        <v>2017/18</v>
      </c>
      <c r="D73" s="502">
        <f t="shared" si="11"/>
        <v>60797809.265771657</v>
      </c>
      <c r="E73" s="502">
        <f t="shared" si="14"/>
        <v>0</v>
      </c>
      <c r="F73" s="502">
        <f t="shared" si="15"/>
        <v>60797809.265771657</v>
      </c>
      <c r="G73" s="504">
        <f t="shared" si="12"/>
        <v>0.03</v>
      </c>
      <c r="H73" s="505">
        <f t="shared" si="13"/>
        <v>62621743.54374481</v>
      </c>
      <c r="I73" s="500"/>
      <c r="J73" s="502">
        <f t="shared" si="16"/>
        <v>62621743.54374481</v>
      </c>
      <c r="K73" s="502">
        <f t="shared" si="10"/>
        <v>1823934.2779731527</v>
      </c>
      <c r="L73" s="506">
        <f t="shared" si="17"/>
        <v>3.0000000000000027</v>
      </c>
      <c r="M73" s="505">
        <f t="shared" si="18"/>
        <v>61726038.404504396</v>
      </c>
      <c r="N73" s="505">
        <f t="shared" si="19"/>
        <v>26088.499201178551</v>
      </c>
      <c r="O73" s="505">
        <f t="shared" si="20"/>
        <v>61726038.404504396</v>
      </c>
      <c r="P73" s="490"/>
      <c r="Q73" s="491"/>
      <c r="R73" s="493"/>
      <c r="S73" s="493"/>
      <c r="T73" s="492"/>
      <c r="U73" s="492"/>
      <c r="V73" s="492"/>
      <c r="W73" s="492"/>
      <c r="X73" s="492"/>
      <c r="Y73" s="492"/>
      <c r="Z73" s="492"/>
      <c r="AA73" s="492"/>
      <c r="AB73" s="492"/>
      <c r="AC73" s="492"/>
    </row>
    <row r="74" spans="1:30" s="482" customFormat="1" ht="15" x14ac:dyDescent="0.25">
      <c r="A74" s="488"/>
      <c r="B74" s="498" t="s">
        <v>334</v>
      </c>
      <c r="C74" s="499" t="str">
        <f t="shared" si="9"/>
        <v>2018/19</v>
      </c>
      <c r="D74" s="502">
        <f t="shared" si="11"/>
        <v>62621743.54374481</v>
      </c>
      <c r="E74" s="502">
        <f t="shared" si="14"/>
        <v>0</v>
      </c>
      <c r="F74" s="502">
        <f t="shared" si="15"/>
        <v>62621743.54374481</v>
      </c>
      <c r="G74" s="504">
        <f t="shared" si="12"/>
        <v>0.03</v>
      </c>
      <c r="H74" s="505">
        <f t="shared" si="13"/>
        <v>64500395.850057155</v>
      </c>
      <c r="I74" s="500"/>
      <c r="J74" s="502">
        <f t="shared" si="16"/>
        <v>64500395.850057155</v>
      </c>
      <c r="K74" s="502">
        <f t="shared" si="10"/>
        <v>1878652.306312345</v>
      </c>
      <c r="L74" s="506">
        <f t="shared" si="17"/>
        <v>3.0000000000000027</v>
      </c>
      <c r="M74" s="505">
        <f t="shared" si="18"/>
        <v>63577819.55663953</v>
      </c>
      <c r="N74" s="505">
        <f t="shared" si="19"/>
        <v>26871.154177211225</v>
      </c>
      <c r="O74" s="505">
        <f t="shared" si="20"/>
        <v>63577819.55663953</v>
      </c>
      <c r="P74" s="490"/>
      <c r="Q74" s="491"/>
      <c r="R74" s="493"/>
      <c r="S74" s="493"/>
      <c r="T74" s="492"/>
      <c r="U74" s="492"/>
      <c r="V74" s="492"/>
      <c r="W74" s="492"/>
      <c r="X74" s="492"/>
      <c r="Y74" s="492"/>
      <c r="Z74" s="492"/>
      <c r="AA74" s="492"/>
      <c r="AB74" s="492"/>
      <c r="AC74" s="492"/>
    </row>
    <row r="75" spans="1:30" s="482" customFormat="1" ht="15" x14ac:dyDescent="0.25">
      <c r="A75" s="488"/>
      <c r="B75" s="498" t="s">
        <v>335</v>
      </c>
      <c r="C75" s="499" t="str">
        <f t="shared" si="9"/>
        <v>2019/20</v>
      </c>
      <c r="D75" s="502">
        <f t="shared" si="11"/>
        <v>64500395.850057155</v>
      </c>
      <c r="E75" s="502">
        <f t="shared" si="14"/>
        <v>0</v>
      </c>
      <c r="F75" s="502">
        <f t="shared" si="15"/>
        <v>64500395.850057155</v>
      </c>
      <c r="G75" s="504">
        <f t="shared" si="12"/>
        <v>0.03</v>
      </c>
      <c r="H75" s="505">
        <f t="shared" si="13"/>
        <v>66435407.72555887</v>
      </c>
      <c r="I75" s="500"/>
      <c r="J75" s="502">
        <f t="shared" si="16"/>
        <v>66435407.72555887</v>
      </c>
      <c r="K75" s="502">
        <f t="shared" si="10"/>
        <v>1935011.8755017146</v>
      </c>
      <c r="L75" s="506">
        <f t="shared" si="17"/>
        <v>3.0000000000000027</v>
      </c>
      <c r="M75" s="505">
        <f t="shared" si="18"/>
        <v>65485154.143338718</v>
      </c>
      <c r="N75" s="505">
        <f t="shared" si="19"/>
        <v>27677.288802526891</v>
      </c>
      <c r="O75" s="505">
        <f t="shared" si="20"/>
        <v>65485154.143338718</v>
      </c>
      <c r="P75" s="490"/>
      <c r="Q75" s="491"/>
      <c r="R75" s="493"/>
      <c r="S75" s="493"/>
      <c r="T75" s="492"/>
      <c r="U75" s="492"/>
      <c r="V75" s="492"/>
      <c r="W75" s="492"/>
      <c r="X75" s="492"/>
      <c r="Y75" s="492"/>
      <c r="Z75" s="492"/>
      <c r="AA75" s="492"/>
      <c r="AB75" s="492"/>
      <c r="AC75" s="492"/>
    </row>
    <row r="76" spans="1:30" s="482" customFormat="1" ht="15" x14ac:dyDescent="0.25">
      <c r="A76" s="488"/>
      <c r="B76" s="498" t="s">
        <v>336</v>
      </c>
      <c r="C76" s="499" t="str">
        <f t="shared" si="9"/>
        <v>2020/21</v>
      </c>
      <c r="D76" s="502">
        <f t="shared" si="11"/>
        <v>66435407.72555887</v>
      </c>
      <c r="E76" s="502">
        <f t="shared" si="14"/>
        <v>0</v>
      </c>
      <c r="F76" s="502">
        <f t="shared" si="15"/>
        <v>66435407.72555887</v>
      </c>
      <c r="G76" s="504">
        <f t="shared" si="12"/>
        <v>0.03</v>
      </c>
      <c r="H76" s="505">
        <f t="shared" si="13"/>
        <v>68428469.957325637</v>
      </c>
      <c r="I76" s="500"/>
      <c r="J76" s="502">
        <f t="shared" si="16"/>
        <v>68428469.957325637</v>
      </c>
      <c r="K76" s="502">
        <f t="shared" si="10"/>
        <v>1993062.2317667678</v>
      </c>
      <c r="L76" s="506">
        <f t="shared" si="17"/>
        <v>3.0000000000000027</v>
      </c>
      <c r="M76" s="505">
        <f t="shared" si="18"/>
        <v>67449708.767638877</v>
      </c>
      <c r="N76" s="505">
        <f t="shared" si="19"/>
        <v>28507.607466608286</v>
      </c>
      <c r="O76" s="505">
        <f t="shared" si="20"/>
        <v>67449708.767638877</v>
      </c>
      <c r="P76" s="490"/>
      <c r="Q76" s="491"/>
      <c r="R76" s="493"/>
      <c r="S76" s="493"/>
      <c r="T76" s="492"/>
      <c r="U76" s="492"/>
      <c r="V76" s="492"/>
      <c r="W76" s="492"/>
      <c r="X76" s="492"/>
      <c r="Y76" s="492"/>
      <c r="Z76" s="492"/>
      <c r="AA76" s="492"/>
      <c r="AB76" s="492"/>
      <c r="AC76" s="492"/>
    </row>
    <row r="77" spans="1:30" s="482" customFormat="1" ht="15" x14ac:dyDescent="0.25">
      <c r="A77" s="488"/>
      <c r="B77" s="498" t="s">
        <v>337</v>
      </c>
      <c r="C77" s="499" t="str">
        <f t="shared" si="9"/>
        <v>2021/22</v>
      </c>
      <c r="D77" s="502">
        <f t="shared" si="11"/>
        <v>68428469.957325637</v>
      </c>
      <c r="E77" s="502">
        <f t="shared" si="14"/>
        <v>0</v>
      </c>
      <c r="F77" s="502">
        <f t="shared" si="15"/>
        <v>68428469.957325637</v>
      </c>
      <c r="G77" s="504">
        <f t="shared" si="12"/>
        <v>0.03</v>
      </c>
      <c r="H77" s="505">
        <f t="shared" si="13"/>
        <v>70481324.056045413</v>
      </c>
      <c r="I77" s="507"/>
      <c r="J77" s="502">
        <f t="shared" si="16"/>
        <v>70481324.056045413</v>
      </c>
      <c r="K77" s="502">
        <f t="shared" si="10"/>
        <v>2052854.0987197757</v>
      </c>
      <c r="L77" s="506">
        <f t="shared" si="17"/>
        <v>3.0000000000000027</v>
      </c>
      <c r="M77" s="505">
        <f t="shared" si="18"/>
        <v>69473200.03066805</v>
      </c>
      <c r="N77" s="505">
        <f t="shared" si="19"/>
        <v>29362.83569060266</v>
      </c>
      <c r="O77" s="505">
        <f t="shared" si="20"/>
        <v>69473200.03066805</v>
      </c>
      <c r="P77" s="490"/>
      <c r="Q77" s="491"/>
      <c r="R77" s="493"/>
      <c r="S77" s="493"/>
      <c r="T77" s="492"/>
      <c r="U77" s="492"/>
      <c r="V77" s="492"/>
      <c r="W77" s="492"/>
      <c r="X77" s="492"/>
      <c r="Y77" s="492"/>
      <c r="Z77" s="492"/>
      <c r="AA77" s="492"/>
      <c r="AB77" s="492"/>
      <c r="AC77" s="492"/>
    </row>
    <row r="78" spans="1:30" s="482" customFormat="1" ht="15" x14ac:dyDescent="0.25">
      <c r="A78" s="488"/>
      <c r="B78" s="490"/>
      <c r="C78" s="490"/>
      <c r="D78" s="490"/>
      <c r="E78" s="490"/>
      <c r="F78" s="494"/>
      <c r="G78" s="495"/>
      <c r="H78" s="495"/>
      <c r="I78" s="508" t="s">
        <v>456</v>
      </c>
      <c r="J78" s="509">
        <f>INDEX(J70:J77,COUNT(J70:J77))-J70</f>
        <v>13760627.48659341</v>
      </c>
      <c r="K78" s="509">
        <f>SUM(K71:K77)</f>
        <v>13760627.48659341</v>
      </c>
      <c r="L78" s="510"/>
      <c r="M78" s="509">
        <f>SUM(M71:M77)</f>
        <v>445822824.81564081</v>
      </c>
      <c r="N78" s="509">
        <f>SUM(N71:N77)</f>
        <v>907406.02537736297</v>
      </c>
      <c r="O78" s="509">
        <f>SUM(O71:O77)</f>
        <v>445822824.81564081</v>
      </c>
      <c r="P78" s="490"/>
      <c r="Q78" s="491"/>
      <c r="R78" s="493"/>
      <c r="S78" s="493"/>
      <c r="T78" s="492"/>
      <c r="U78" s="492"/>
      <c r="V78" s="492"/>
      <c r="W78" s="492"/>
      <c r="X78" s="492"/>
      <c r="Y78" s="492"/>
      <c r="Z78" s="492"/>
      <c r="AA78" s="492"/>
      <c r="AB78" s="492"/>
      <c r="AC78" s="492"/>
    </row>
    <row r="79" spans="1:30" s="482" customFormat="1" ht="15.75" x14ac:dyDescent="0.25">
      <c r="A79" s="488"/>
      <c r="B79" s="490"/>
      <c r="C79" s="490"/>
      <c r="D79" s="490"/>
      <c r="E79" s="490"/>
      <c r="F79" s="494"/>
      <c r="G79" s="495"/>
      <c r="H79" s="495"/>
      <c r="I79" s="511" t="s">
        <v>445</v>
      </c>
      <c r="J79" s="512">
        <f>J78/J70</f>
        <v>0.24260328802105113</v>
      </c>
      <c r="K79" s="513"/>
      <c r="L79" s="514"/>
      <c r="M79" s="490"/>
      <c r="N79" s="490"/>
      <c r="O79" s="490"/>
      <c r="P79" s="490"/>
      <c r="Q79" s="491"/>
      <c r="R79" s="515"/>
      <c r="T79" s="492"/>
      <c r="U79" s="492"/>
      <c r="V79" s="492"/>
      <c r="W79" s="492"/>
      <c r="X79" s="492"/>
      <c r="Y79" s="492"/>
      <c r="Z79" s="492"/>
      <c r="AA79" s="492"/>
      <c r="AB79" s="492"/>
      <c r="AC79" s="492"/>
    </row>
    <row r="80" spans="1:30" s="482" customFormat="1" ht="32.25" customHeight="1" x14ac:dyDescent="0.25">
      <c r="A80" s="488"/>
      <c r="B80" s="489" t="s">
        <v>527</v>
      </c>
      <c r="C80" s="490"/>
      <c r="D80" s="490"/>
      <c r="E80" s="490"/>
      <c r="F80" s="490"/>
      <c r="G80" s="490"/>
      <c r="H80" s="490"/>
      <c r="I80" s="490"/>
      <c r="J80" s="490"/>
      <c r="K80" s="490"/>
      <c r="L80" s="490"/>
      <c r="M80" s="490"/>
      <c r="N80" s="490"/>
      <c r="O80" s="490"/>
      <c r="P80" s="490"/>
      <c r="Q80" s="491"/>
      <c r="R80" s="493"/>
      <c r="S80" s="515"/>
      <c r="U80" s="492"/>
      <c r="V80" s="492"/>
      <c r="W80" s="492"/>
      <c r="X80" s="492"/>
      <c r="Y80" s="492"/>
      <c r="Z80" s="492"/>
      <c r="AA80" s="492"/>
      <c r="AB80" s="492"/>
      <c r="AC80" s="492"/>
      <c r="AD80" s="492"/>
    </row>
    <row r="81" spans="1:31" s="482" customFormat="1" ht="10.15" customHeight="1" x14ac:dyDescent="0.2">
      <c r="A81" s="488"/>
      <c r="B81" s="490"/>
      <c r="C81" s="490"/>
      <c r="D81" s="490"/>
      <c r="E81" s="490"/>
      <c r="F81" s="490"/>
      <c r="G81" s="490"/>
      <c r="H81" s="490"/>
      <c r="I81" s="490"/>
      <c r="J81" s="490"/>
      <c r="K81" s="490"/>
      <c r="L81" s="490"/>
      <c r="M81" s="490"/>
      <c r="N81" s="490"/>
      <c r="O81" s="490"/>
      <c r="P81" s="490"/>
      <c r="Q81" s="491"/>
      <c r="R81" s="493"/>
      <c r="S81" s="515"/>
      <c r="U81" s="492"/>
      <c r="V81" s="492"/>
      <c r="W81" s="492"/>
      <c r="X81" s="492"/>
      <c r="Y81" s="492"/>
      <c r="Z81" s="492"/>
      <c r="AA81" s="492"/>
      <c r="AB81" s="492"/>
      <c r="AC81" s="492"/>
      <c r="AD81" s="492"/>
    </row>
    <row r="82" spans="1:31" s="482" customFormat="1" ht="95.25" customHeight="1" x14ac:dyDescent="0.25">
      <c r="B82" s="494"/>
      <c r="C82" s="495"/>
      <c r="D82" s="497" t="s">
        <v>446</v>
      </c>
      <c r="E82" s="496" t="s">
        <v>448</v>
      </c>
      <c r="F82" s="496" t="s">
        <v>447</v>
      </c>
      <c r="G82" s="496" t="s">
        <v>449</v>
      </c>
      <c r="H82" s="496" t="s">
        <v>450</v>
      </c>
      <c r="I82" s="490"/>
      <c r="J82" s="490"/>
      <c r="K82" s="490"/>
      <c r="L82" s="490"/>
      <c r="M82" s="490"/>
      <c r="N82" s="490"/>
      <c r="O82" s="490"/>
      <c r="P82" s="490"/>
      <c r="Q82" s="491"/>
      <c r="R82" s="493"/>
      <c r="S82" s="515"/>
      <c r="T82" s="515"/>
      <c r="V82" s="492"/>
      <c r="W82" s="492"/>
      <c r="X82" s="492"/>
      <c r="Y82" s="492"/>
      <c r="Z82" s="492"/>
      <c r="AA82" s="492"/>
      <c r="AB82" s="492"/>
      <c r="AC82" s="492"/>
      <c r="AD82" s="492"/>
      <c r="AE82" s="492"/>
    </row>
    <row r="83" spans="1:31" s="482" customFormat="1" ht="15.75" x14ac:dyDescent="0.25">
      <c r="B83" s="498" t="s">
        <v>353</v>
      </c>
      <c r="C83" s="499" t="str">
        <f t="shared" ref="C83:C90" si="21">C44</f>
        <v>2014/15</v>
      </c>
      <c r="D83" s="499"/>
      <c r="E83" s="516"/>
      <c r="F83" s="516"/>
      <c r="G83" s="516"/>
      <c r="H83" s="516"/>
      <c r="I83" s="490"/>
      <c r="J83" s="490"/>
      <c r="K83" s="490"/>
      <c r="L83" s="490"/>
      <c r="M83" s="490"/>
      <c r="N83" s="490"/>
      <c r="O83" s="490"/>
      <c r="P83" s="490"/>
      <c r="Q83" s="491"/>
      <c r="R83" s="493"/>
      <c r="S83" s="515"/>
      <c r="T83" s="515"/>
      <c r="V83" s="492"/>
      <c r="W83" s="492"/>
      <c r="X83" s="492"/>
      <c r="Y83" s="492"/>
      <c r="Z83" s="492"/>
      <c r="AA83" s="492"/>
      <c r="AB83" s="492"/>
      <c r="AC83" s="492"/>
      <c r="AD83" s="492"/>
      <c r="AE83" s="492"/>
    </row>
    <row r="84" spans="1:31" s="482" customFormat="1" ht="15.75" x14ac:dyDescent="0.25">
      <c r="B84" s="498" t="s">
        <v>331</v>
      </c>
      <c r="C84" s="499" t="str">
        <f t="shared" si="21"/>
        <v>2015/16</v>
      </c>
      <c r="D84" s="517">
        <f>IF(J71="","",J71)</f>
        <v>59026999.287156947</v>
      </c>
      <c r="E84" s="505">
        <f>M71</f>
        <v>58182711.287118852</v>
      </c>
      <c r="F84" s="505">
        <f t="shared" ref="F84:F90" si="22">IF(D84="","",D84-E84)</f>
        <v>844288.00003809482</v>
      </c>
      <c r="G84" s="505">
        <f>D71*(1+E45)+I71</f>
        <v>58182711.287118852</v>
      </c>
      <c r="H84" s="502">
        <f t="shared" ref="H84:H90" si="23">IF(D84="","",D84-G84)</f>
        <v>844288.00003809482</v>
      </c>
      <c r="I84" s="490"/>
      <c r="J84" s="490"/>
      <c r="K84" s="490"/>
      <c r="L84" s="490"/>
      <c r="M84" s="490"/>
      <c r="N84" s="490"/>
      <c r="O84" s="490"/>
      <c r="P84" s="490"/>
      <c r="Q84" s="491"/>
      <c r="R84" s="493"/>
      <c r="S84" s="515"/>
      <c r="T84" s="515"/>
      <c r="V84" s="492"/>
      <c r="W84" s="492"/>
      <c r="X84" s="492"/>
      <c r="Y84" s="492"/>
      <c r="Z84" s="492"/>
      <c r="AA84" s="492"/>
      <c r="AB84" s="492"/>
      <c r="AC84" s="492"/>
      <c r="AD84" s="492"/>
      <c r="AE84" s="492"/>
    </row>
    <row r="85" spans="1:31" s="482" customFormat="1" ht="15.75" x14ac:dyDescent="0.25">
      <c r="B85" s="498" t="s">
        <v>332</v>
      </c>
      <c r="C85" s="499" t="str">
        <f t="shared" si="21"/>
        <v>2016/17</v>
      </c>
      <c r="D85" s="517">
        <f t="shared" ref="D85:D90" si="24">IF(J72="","",J72+D84)</f>
        <v>119824808.5529286</v>
      </c>
      <c r="E85" s="505">
        <f t="shared" ref="E85:E90" si="25">IF(F72="","",E84+M72)</f>
        <v>118110903.91285127</v>
      </c>
      <c r="F85" s="505">
        <f t="shared" si="22"/>
        <v>1713904.6400773227</v>
      </c>
      <c r="G85" s="505">
        <f>IF(D72="","",G84*(1+E46)+G84)</f>
        <v>118110903.91285127</v>
      </c>
      <c r="H85" s="502">
        <f t="shared" si="23"/>
        <v>1713904.6400773227</v>
      </c>
      <c r="I85" s="490"/>
      <c r="J85" s="490"/>
      <c r="K85" s="490"/>
      <c r="L85" s="490"/>
      <c r="M85" s="490"/>
      <c r="N85" s="490"/>
      <c r="O85" s="490"/>
      <c r="P85" s="490"/>
      <c r="Q85" s="491"/>
      <c r="R85" s="493"/>
      <c r="S85" s="515"/>
      <c r="T85" s="515"/>
      <c r="V85" s="492"/>
      <c r="W85" s="492"/>
      <c r="X85" s="492"/>
      <c r="Y85" s="492"/>
      <c r="Z85" s="492"/>
      <c r="AA85" s="492"/>
      <c r="AB85" s="492"/>
      <c r="AC85" s="492"/>
      <c r="AD85" s="492"/>
      <c r="AE85" s="492"/>
    </row>
    <row r="86" spans="1:31" s="482" customFormat="1" ht="15.75" x14ac:dyDescent="0.25">
      <c r="B86" s="498" t="s">
        <v>333</v>
      </c>
      <c r="C86" s="499" t="str">
        <f t="shared" si="21"/>
        <v>2017/18</v>
      </c>
      <c r="D86" s="517">
        <f t="shared" si="24"/>
        <v>182446552.0966734</v>
      </c>
      <c r="E86" s="505">
        <f t="shared" si="25"/>
        <v>179836942.31735566</v>
      </c>
      <c r="F86" s="505">
        <f t="shared" si="22"/>
        <v>2609609.7793177366</v>
      </c>
      <c r="G86" s="505">
        <f>IF(D73="","",(G85-G84)*(1+E47)+G85)</f>
        <v>179836942.31735566</v>
      </c>
      <c r="H86" s="502">
        <f t="shared" si="23"/>
        <v>2609609.7793177366</v>
      </c>
      <c r="I86" s="490"/>
      <c r="J86" s="490"/>
      <c r="K86" s="490"/>
      <c r="L86" s="490"/>
      <c r="M86" s="490"/>
      <c r="N86" s="490"/>
      <c r="O86" s="490"/>
      <c r="P86" s="490"/>
      <c r="Q86" s="491"/>
      <c r="R86" s="493"/>
      <c r="S86" s="515"/>
      <c r="T86" s="515"/>
      <c r="V86" s="492"/>
      <c r="W86" s="492"/>
      <c r="X86" s="492"/>
      <c r="Y86" s="492"/>
      <c r="Z86" s="492"/>
      <c r="AA86" s="492"/>
      <c r="AB86" s="492"/>
      <c r="AC86" s="492"/>
      <c r="AD86" s="492"/>
      <c r="AE86" s="492"/>
    </row>
    <row r="87" spans="1:31" s="482" customFormat="1" ht="15.75" x14ac:dyDescent="0.25">
      <c r="B87" s="498" t="s">
        <v>334</v>
      </c>
      <c r="C87" s="499" t="str">
        <f t="shared" si="21"/>
        <v>2018/19</v>
      </c>
      <c r="D87" s="517">
        <f t="shared" si="24"/>
        <v>246946947.94673055</v>
      </c>
      <c r="E87" s="505">
        <f t="shared" si="25"/>
        <v>243414761.87399518</v>
      </c>
      <c r="F87" s="505">
        <f t="shared" si="22"/>
        <v>3532186.0727353692</v>
      </c>
      <c r="G87" s="505">
        <f>IF(D74="","",(G86-G85)*(1+E48)+G86)</f>
        <v>243414761.87399518</v>
      </c>
      <c r="H87" s="502">
        <f t="shared" si="23"/>
        <v>3532186.0727353692</v>
      </c>
      <c r="I87" s="490"/>
      <c r="J87" s="490"/>
      <c r="K87" s="490"/>
      <c r="L87" s="490"/>
      <c r="M87" s="490"/>
      <c r="N87" s="490"/>
      <c r="O87" s="490"/>
      <c r="P87" s="490"/>
      <c r="Q87" s="491"/>
      <c r="R87" s="493"/>
      <c r="S87" s="515"/>
      <c r="T87" s="515"/>
      <c r="V87" s="492"/>
      <c r="W87" s="492"/>
      <c r="X87" s="492"/>
      <c r="Y87" s="492"/>
      <c r="Z87" s="492"/>
      <c r="AA87" s="492"/>
      <c r="AB87" s="492"/>
      <c r="AC87" s="492"/>
      <c r="AD87" s="492"/>
      <c r="AE87" s="492"/>
    </row>
    <row r="88" spans="1:31" s="482" customFormat="1" ht="15.75" x14ac:dyDescent="0.25">
      <c r="B88" s="498" t="s">
        <v>335</v>
      </c>
      <c r="C88" s="499" t="str">
        <f t="shared" si="21"/>
        <v>2019/20</v>
      </c>
      <c r="D88" s="517">
        <f t="shared" si="24"/>
        <v>313382355.67228943</v>
      </c>
      <c r="E88" s="505">
        <f t="shared" si="25"/>
        <v>308899916.01733392</v>
      </c>
      <c r="F88" s="505">
        <f t="shared" si="22"/>
        <v>4482439.6549555063</v>
      </c>
      <c r="G88" s="505">
        <f>IF(D75="","",(G87-G86)*(1+E49)+G87)</f>
        <v>308899916.01733387</v>
      </c>
      <c r="H88" s="502">
        <f t="shared" si="23"/>
        <v>4482439.6549555659</v>
      </c>
      <c r="I88" s="490"/>
      <c r="J88" s="490"/>
      <c r="K88" s="490"/>
      <c r="L88" s="490"/>
      <c r="M88" s="490"/>
      <c r="N88" s="490"/>
      <c r="O88" s="490"/>
      <c r="P88" s="490"/>
      <c r="Q88" s="491"/>
      <c r="R88" s="493"/>
      <c r="S88" s="515"/>
      <c r="T88" s="515"/>
      <c r="V88" s="492"/>
      <c r="W88" s="492"/>
      <c r="X88" s="492"/>
      <c r="Y88" s="492"/>
      <c r="Z88" s="492"/>
      <c r="AA88" s="492"/>
      <c r="AB88" s="492"/>
      <c r="AC88" s="492"/>
      <c r="AD88" s="492"/>
      <c r="AE88" s="492"/>
    </row>
    <row r="89" spans="1:31" s="482" customFormat="1" ht="15.75" x14ac:dyDescent="0.25">
      <c r="B89" s="498" t="s">
        <v>336</v>
      </c>
      <c r="C89" s="499" t="str">
        <f t="shared" si="21"/>
        <v>2020/21</v>
      </c>
      <c r="D89" s="517">
        <f t="shared" si="24"/>
        <v>381810825.62961507</v>
      </c>
      <c r="E89" s="505">
        <f t="shared" si="25"/>
        <v>376349624.78497279</v>
      </c>
      <c r="F89" s="505">
        <f t="shared" si="22"/>
        <v>5461200.8446422815</v>
      </c>
      <c r="G89" s="505">
        <f>IF(D76="","",(G88-G87)*(1+E50)+G88)</f>
        <v>376349624.78497273</v>
      </c>
      <c r="H89" s="502">
        <f t="shared" si="23"/>
        <v>5461200.8446423411</v>
      </c>
      <c r="I89" s="490"/>
      <c r="J89" s="490"/>
      <c r="K89" s="490"/>
      <c r="L89" s="490"/>
      <c r="M89" s="490"/>
      <c r="N89" s="490"/>
      <c r="O89" s="490"/>
      <c r="P89" s="490"/>
      <c r="Q89" s="491"/>
      <c r="R89" s="493"/>
      <c r="S89" s="515"/>
      <c r="T89" s="515"/>
      <c r="V89" s="492"/>
      <c r="W89" s="492"/>
      <c r="X89" s="492"/>
      <c r="Y89" s="492"/>
      <c r="Z89" s="492"/>
      <c r="AA89" s="492"/>
      <c r="AB89" s="492"/>
      <c r="AC89" s="492"/>
      <c r="AD89" s="492"/>
      <c r="AE89" s="492"/>
    </row>
    <row r="90" spans="1:31" s="482" customFormat="1" ht="15.75" x14ac:dyDescent="0.25">
      <c r="B90" s="498" t="s">
        <v>337</v>
      </c>
      <c r="C90" s="499" t="str">
        <f t="shared" si="21"/>
        <v>2021/22</v>
      </c>
      <c r="D90" s="517">
        <f t="shared" si="24"/>
        <v>452292149.68566048</v>
      </c>
      <c r="E90" s="505">
        <f t="shared" si="25"/>
        <v>445822824.81564081</v>
      </c>
      <c r="F90" s="505">
        <f t="shared" si="22"/>
        <v>6469324.8700196743</v>
      </c>
      <c r="G90" s="505">
        <f>IF(D77="","",(G89-G88)*(1+E51)+G89)</f>
        <v>445822824.81564075</v>
      </c>
      <c r="H90" s="502">
        <f t="shared" si="23"/>
        <v>6469324.8700197339</v>
      </c>
      <c r="I90" s="490"/>
      <c r="J90" s="490"/>
      <c r="K90" s="490"/>
      <c r="L90" s="490"/>
      <c r="M90" s="490"/>
      <c r="N90" s="490"/>
      <c r="O90" s="490"/>
      <c r="P90" s="490"/>
      <c r="Q90" s="491"/>
      <c r="R90" s="493"/>
      <c r="S90" s="515"/>
      <c r="T90" s="515"/>
      <c r="V90" s="492"/>
      <c r="W90" s="492"/>
      <c r="X90" s="492"/>
      <c r="Y90" s="492"/>
      <c r="Z90" s="492"/>
      <c r="AA90" s="492"/>
      <c r="AB90" s="492"/>
      <c r="AC90" s="492"/>
      <c r="AD90" s="492"/>
      <c r="AE90" s="492"/>
    </row>
    <row r="91" spans="1:31" s="482" customFormat="1" ht="15.75" x14ac:dyDescent="0.25">
      <c r="A91" s="518"/>
      <c r="B91" s="519"/>
      <c r="C91" s="520"/>
      <c r="D91" s="520"/>
      <c r="E91" s="519"/>
      <c r="F91" s="521"/>
      <c r="G91" s="522"/>
      <c r="H91" s="523">
        <f>INDEX(H84:H90,COUNT(H84:H90))/INDEX(G84:G90,COUNT(G84:G90))</f>
        <v>1.4510977253564724E-2</v>
      </c>
      <c r="I91" s="524" t="s">
        <v>512</v>
      </c>
      <c r="J91" s="519"/>
      <c r="K91" s="519"/>
      <c r="L91" s="519"/>
      <c r="M91" s="519"/>
      <c r="N91" s="519"/>
      <c r="O91" s="519"/>
      <c r="P91" s="519"/>
      <c r="Q91" s="525"/>
      <c r="R91" s="493"/>
      <c r="S91" s="515"/>
      <c r="U91" s="492"/>
      <c r="V91" s="492"/>
      <c r="W91" s="492"/>
      <c r="X91" s="492"/>
      <c r="Y91" s="492"/>
      <c r="Z91" s="492"/>
      <c r="AA91" s="492"/>
      <c r="AB91" s="492"/>
      <c r="AC91" s="492"/>
      <c r="AD91" s="492"/>
    </row>
    <row r="92" spans="1:31" ht="15" x14ac:dyDescent="0.2">
      <c r="A92" s="36"/>
      <c r="B92" s="38"/>
      <c r="C92" s="38"/>
      <c r="D92" s="38"/>
      <c r="E92" s="38"/>
      <c r="F92" s="38"/>
      <c r="G92" s="38"/>
      <c r="H92" s="38"/>
      <c r="I92" s="38"/>
      <c r="J92" s="38"/>
      <c r="K92" s="38"/>
      <c r="L92" s="38"/>
      <c r="M92" s="38"/>
      <c r="N92" s="38"/>
      <c r="O92" s="38"/>
      <c r="P92" s="38"/>
      <c r="Q92" s="38"/>
      <c r="R92" s="164"/>
      <c r="S92" s="167"/>
      <c r="T92"/>
      <c r="U92" s="163"/>
      <c r="V92" s="163"/>
      <c r="W92" s="163"/>
      <c r="X92" s="163"/>
      <c r="Y92" s="163"/>
      <c r="Z92" s="163"/>
      <c r="AA92" s="163"/>
      <c r="AB92" s="163"/>
      <c r="AC92" s="163"/>
      <c r="AD92" s="163"/>
    </row>
    <row r="93" spans="1:31" ht="15" x14ac:dyDescent="0.2">
      <c r="A93" s="36"/>
      <c r="B93" s="38"/>
      <c r="C93" s="38"/>
      <c r="D93" s="38"/>
      <c r="E93" s="38"/>
      <c r="F93" s="38"/>
      <c r="G93" s="38"/>
      <c r="H93" s="38"/>
      <c r="I93" s="38"/>
      <c r="J93" s="38"/>
      <c r="K93" s="38"/>
      <c r="L93" s="38"/>
      <c r="M93" s="38"/>
      <c r="N93" s="38"/>
      <c r="O93" s="38"/>
      <c r="P93" s="38"/>
      <c r="Q93" s="38"/>
      <c r="R93" s="167"/>
      <c r="S93" s="167"/>
      <c r="T93"/>
      <c r="U93" s="163"/>
      <c r="V93" s="163"/>
      <c r="W93" s="163"/>
      <c r="X93" s="163"/>
      <c r="Y93" s="163"/>
      <c r="Z93" s="163"/>
      <c r="AA93" s="163"/>
      <c r="AB93" s="163"/>
      <c r="AC93" s="163"/>
      <c r="AD93" s="163"/>
    </row>
    <row r="94" spans="1:31" x14ac:dyDescent="0.2">
      <c r="A94" s="38"/>
      <c r="B94" s="38"/>
      <c r="C94" s="38"/>
      <c r="D94" s="38"/>
      <c r="E94" s="38"/>
      <c r="F94" s="38"/>
      <c r="G94" s="38"/>
      <c r="H94" s="38"/>
      <c r="I94" s="38"/>
      <c r="J94" s="38"/>
      <c r="K94" s="38"/>
      <c r="L94" s="38"/>
      <c r="M94" s="38"/>
      <c r="N94" s="38"/>
      <c r="O94" s="38"/>
      <c r="P94" s="38"/>
      <c r="Q94" s="38"/>
      <c r="S94"/>
      <c r="T94"/>
      <c r="U94" s="163"/>
      <c r="V94" s="163"/>
      <c r="W94" s="163"/>
      <c r="X94" s="163"/>
      <c r="Y94" s="163"/>
      <c r="Z94" s="163"/>
      <c r="AA94" s="163"/>
      <c r="AB94" s="163"/>
      <c r="AC94" s="163"/>
      <c r="AD94" s="163"/>
    </row>
    <row r="95" spans="1:31" hidden="1" x14ac:dyDescent="0.2">
      <c r="S95"/>
      <c r="T95"/>
    </row>
    <row r="96" spans="1:31" hidden="1" x14ac:dyDescent="0.2"/>
    <row r="97" spans="2:30" hidden="1" x14ac:dyDescent="0.2">
      <c r="S97" s="163"/>
      <c r="T97" s="163"/>
      <c r="U97" s="163"/>
      <c r="V97" s="163"/>
      <c r="W97" s="163"/>
      <c r="X97" s="163"/>
      <c r="Y97" s="163"/>
      <c r="Z97" s="163"/>
      <c r="AA97" s="163"/>
      <c r="AB97" s="163"/>
      <c r="AC97" s="163"/>
      <c r="AD97" s="163"/>
    </row>
    <row r="98" spans="2:30" ht="12.75" hidden="1" x14ac:dyDescent="0.2">
      <c r="B98" s="1" t="s">
        <v>16</v>
      </c>
      <c r="C98" s="1"/>
      <c r="G98" s="1" t="s">
        <v>17</v>
      </c>
      <c r="J98" s="165" t="s">
        <v>354</v>
      </c>
      <c r="K98" s="165"/>
      <c r="O98" s="1"/>
      <c r="P98" s="1"/>
      <c r="Q98" s="1"/>
      <c r="R98" s="164"/>
    </row>
    <row r="99" spans="2:30" hidden="1" x14ac:dyDescent="0.2">
      <c r="R99" s="164"/>
    </row>
    <row r="100" spans="2:30" ht="12.75" hidden="1" x14ac:dyDescent="0.2">
      <c r="B100" s="4" t="s">
        <v>128</v>
      </c>
      <c r="C100" s="4"/>
      <c r="G100" t="s">
        <v>130</v>
      </c>
      <c r="H100" t="s">
        <v>683</v>
      </c>
      <c r="J100" s="166" t="s">
        <v>355</v>
      </c>
      <c r="K100" s="166"/>
      <c r="L100" s="166" t="s">
        <v>406</v>
      </c>
      <c r="R100" s="1"/>
    </row>
    <row r="101" spans="2:30" ht="12.75" hidden="1" x14ac:dyDescent="0.2">
      <c r="B101" s="4" t="s">
        <v>131</v>
      </c>
      <c r="C101" s="4"/>
      <c r="G101" t="s">
        <v>133</v>
      </c>
      <c r="H101" t="s">
        <v>684</v>
      </c>
      <c r="R101" s="164"/>
    </row>
    <row r="102" spans="2:30" ht="12.75" hidden="1" x14ac:dyDescent="0.2">
      <c r="B102" s="5" t="s">
        <v>132</v>
      </c>
      <c r="C102" s="5"/>
      <c r="G102" t="s">
        <v>135</v>
      </c>
      <c r="J102" s="163" t="s">
        <v>343</v>
      </c>
      <c r="K102" s="163"/>
      <c r="L102" t="s">
        <v>133</v>
      </c>
      <c r="R102" s="164"/>
    </row>
    <row r="103" spans="2:30" ht="12.75" hidden="1" x14ac:dyDescent="0.2">
      <c r="B103" s="5" t="s">
        <v>134</v>
      </c>
      <c r="C103" s="5"/>
      <c r="J103" s="163" t="s">
        <v>344</v>
      </c>
      <c r="K103" s="163"/>
      <c r="L103" t="s">
        <v>135</v>
      </c>
      <c r="R103" s="164"/>
    </row>
    <row r="104" spans="2:30" ht="12.75" hidden="1" x14ac:dyDescent="0.2">
      <c r="B104" s="5" t="s">
        <v>136</v>
      </c>
      <c r="C104" s="5"/>
      <c r="G104" s="165" t="s">
        <v>461</v>
      </c>
      <c r="J104" s="163" t="s">
        <v>345</v>
      </c>
      <c r="K104" s="163"/>
      <c r="O104" s="1" t="s">
        <v>27</v>
      </c>
      <c r="P104" s="164"/>
      <c r="Q104" s="164"/>
      <c r="R104" s="164"/>
    </row>
    <row r="105" spans="2:30" ht="12.75" hidden="1" x14ac:dyDescent="0.2">
      <c r="B105" s="5" t="s">
        <v>137</v>
      </c>
      <c r="C105" s="5"/>
      <c r="G105" t="s">
        <v>130</v>
      </c>
      <c r="J105" s="163" t="s">
        <v>346</v>
      </c>
      <c r="K105" s="163"/>
      <c r="O105" s="164" t="s">
        <v>363</v>
      </c>
      <c r="P105" s="164"/>
      <c r="Q105" s="163"/>
      <c r="R105" s="163"/>
      <c r="T105" s="1" t="s">
        <v>18</v>
      </c>
    </row>
    <row r="106" spans="2:30" ht="12.75" hidden="1" x14ac:dyDescent="0.2">
      <c r="B106" s="5" t="s">
        <v>138</v>
      </c>
      <c r="C106" s="5"/>
      <c r="G106" t="s">
        <v>133</v>
      </c>
      <c r="J106" s="163" t="s">
        <v>347</v>
      </c>
      <c r="K106" s="163"/>
      <c r="O106" s="164" t="s">
        <v>21</v>
      </c>
      <c r="P106" s="383" t="s">
        <v>20</v>
      </c>
      <c r="Q106" s="163" t="s">
        <v>22</v>
      </c>
      <c r="R106" s="163" t="s">
        <v>19</v>
      </c>
      <c r="T106"/>
    </row>
    <row r="107" spans="2:30" ht="12.75" hidden="1" x14ac:dyDescent="0.2">
      <c r="B107" s="5" t="s">
        <v>139</v>
      </c>
      <c r="C107" s="5"/>
      <c r="G107" t="s">
        <v>135</v>
      </c>
      <c r="J107" s="163" t="s">
        <v>348</v>
      </c>
      <c r="K107" s="163"/>
      <c r="O107" s="164" t="s">
        <v>23</v>
      </c>
      <c r="P107" s="383" t="s">
        <v>22</v>
      </c>
      <c r="Q107" s="163" t="s">
        <v>24</v>
      </c>
      <c r="R107" s="163" t="s">
        <v>20</v>
      </c>
      <c r="T107" s="163" t="s">
        <v>363</v>
      </c>
    </row>
    <row r="108" spans="2:30" ht="12.75" hidden="1" x14ac:dyDescent="0.2">
      <c r="B108" s="6" t="s">
        <v>140</v>
      </c>
      <c r="C108" s="6"/>
      <c r="E108" s="183"/>
      <c r="O108" s="164" t="s">
        <v>25</v>
      </c>
      <c r="P108" s="383" t="s">
        <v>24</v>
      </c>
      <c r="Q108" s="163" t="s">
        <v>26</v>
      </c>
      <c r="R108" s="163" t="s">
        <v>22</v>
      </c>
      <c r="T108" s="163" t="s">
        <v>21</v>
      </c>
    </row>
    <row r="109" spans="2:30" ht="12.75" hidden="1" x14ac:dyDescent="0.2">
      <c r="B109" s="5" t="s">
        <v>141</v>
      </c>
      <c r="C109" s="5"/>
      <c r="G109" s="1" t="s">
        <v>17</v>
      </c>
      <c r="J109" s="166" t="s">
        <v>356</v>
      </c>
      <c r="K109" s="166"/>
      <c r="O109" s="164" t="s">
        <v>28</v>
      </c>
      <c r="P109" s="383" t="s">
        <v>26</v>
      </c>
      <c r="Q109" s="163" t="s">
        <v>29</v>
      </c>
      <c r="R109" s="163" t="s">
        <v>24</v>
      </c>
      <c r="T109" s="163" t="s">
        <v>23</v>
      </c>
    </row>
    <row r="110" spans="2:30" ht="12.75" hidden="1" x14ac:dyDescent="0.2">
      <c r="B110" s="5" t="s">
        <v>142</v>
      </c>
      <c r="C110" s="5"/>
      <c r="O110" s="164" t="s">
        <v>30</v>
      </c>
      <c r="P110" s="383" t="s">
        <v>29</v>
      </c>
      <c r="Q110" s="163" t="s">
        <v>31</v>
      </c>
      <c r="R110" s="163" t="s">
        <v>26</v>
      </c>
      <c r="T110" s="163" t="s">
        <v>25</v>
      </c>
    </row>
    <row r="111" spans="2:30" ht="12.75" hidden="1" x14ac:dyDescent="0.2">
      <c r="B111" s="5" t="s">
        <v>143</v>
      </c>
      <c r="C111" s="5"/>
      <c r="G111" t="s">
        <v>621</v>
      </c>
      <c r="H111" t="s">
        <v>799</v>
      </c>
      <c r="J111" s="163" t="s">
        <v>135</v>
      </c>
      <c r="K111" s="163"/>
      <c r="O111" s="164" t="s">
        <v>32</v>
      </c>
      <c r="P111" s="383" t="s">
        <v>31</v>
      </c>
      <c r="Q111" s="163" t="s">
        <v>33</v>
      </c>
      <c r="R111" s="163" t="s">
        <v>29</v>
      </c>
      <c r="T111" s="163" t="s">
        <v>28</v>
      </c>
    </row>
    <row r="112" spans="2:30" ht="12.75" hidden="1" x14ac:dyDescent="0.2">
      <c r="B112" s="5" t="s">
        <v>144</v>
      </c>
      <c r="C112" s="5"/>
      <c r="G112" t="s">
        <v>622</v>
      </c>
      <c r="J112" s="450" t="s">
        <v>498</v>
      </c>
      <c r="K112" s="450"/>
      <c r="O112" s="164" t="s">
        <v>34</v>
      </c>
      <c r="P112" s="383" t="s">
        <v>33</v>
      </c>
      <c r="Q112" s="163" t="s">
        <v>35</v>
      </c>
      <c r="R112" s="163" t="s">
        <v>31</v>
      </c>
      <c r="T112" s="163" t="s">
        <v>30</v>
      </c>
    </row>
    <row r="113" spans="2:20" ht="12.75" hidden="1" x14ac:dyDescent="0.2">
      <c r="B113" s="5" t="s">
        <v>145</v>
      </c>
      <c r="C113" s="5"/>
      <c r="G113" t="s">
        <v>343</v>
      </c>
      <c r="J113" s="450" t="s">
        <v>499</v>
      </c>
      <c r="K113" s="450"/>
      <c r="O113" s="164" t="s">
        <v>36</v>
      </c>
      <c r="P113" s="383" t="s">
        <v>35</v>
      </c>
      <c r="Q113" s="163" t="s">
        <v>37</v>
      </c>
      <c r="R113" s="163" t="s">
        <v>33</v>
      </c>
      <c r="T113" s="163" t="s">
        <v>32</v>
      </c>
    </row>
    <row r="114" spans="2:20" ht="12.75" hidden="1" x14ac:dyDescent="0.2">
      <c r="B114" s="5" t="s">
        <v>146</v>
      </c>
      <c r="C114" s="5"/>
      <c r="G114" t="s">
        <v>344</v>
      </c>
      <c r="J114" s="450" t="s">
        <v>500</v>
      </c>
      <c r="K114" s="450"/>
      <c r="O114" s="164" t="s">
        <v>38</v>
      </c>
      <c r="P114" s="383" t="s">
        <v>37</v>
      </c>
      <c r="Q114" s="163" t="s">
        <v>39</v>
      </c>
      <c r="R114" s="163" t="s">
        <v>35</v>
      </c>
      <c r="T114" s="163" t="s">
        <v>34</v>
      </c>
    </row>
    <row r="115" spans="2:20" ht="12.75" hidden="1" x14ac:dyDescent="0.2">
      <c r="B115" s="5" t="s">
        <v>147</v>
      </c>
      <c r="C115" s="5"/>
      <c r="G115" t="s">
        <v>345</v>
      </c>
      <c r="J115" s="450" t="s">
        <v>501</v>
      </c>
      <c r="K115" s="450"/>
      <c r="O115" s="164" t="s">
        <v>40</v>
      </c>
      <c r="P115" s="383" t="s">
        <v>39</v>
      </c>
      <c r="Q115" s="163" t="s">
        <v>41</v>
      </c>
      <c r="R115" s="163" t="s">
        <v>37</v>
      </c>
      <c r="T115" s="163" t="s">
        <v>36</v>
      </c>
    </row>
    <row r="116" spans="2:20" ht="12.75" hidden="1" x14ac:dyDescent="0.2">
      <c r="B116" s="5" t="s">
        <v>148</v>
      </c>
      <c r="C116" s="5"/>
      <c r="G116" t="s">
        <v>346</v>
      </c>
      <c r="J116" s="450" t="s">
        <v>502</v>
      </c>
      <c r="K116" s="450"/>
      <c r="O116" s="164" t="s">
        <v>42</v>
      </c>
      <c r="P116" s="383" t="s">
        <v>41</v>
      </c>
      <c r="Q116" s="163" t="s">
        <v>43</v>
      </c>
      <c r="R116" s="163" t="s">
        <v>39</v>
      </c>
      <c r="T116" s="163" t="s">
        <v>38</v>
      </c>
    </row>
    <row r="117" spans="2:20" ht="12.75" hidden="1" x14ac:dyDescent="0.2">
      <c r="B117" s="5" t="s">
        <v>149</v>
      </c>
      <c r="C117" s="5"/>
      <c r="G117" t="s">
        <v>347</v>
      </c>
      <c r="J117" s="450" t="s">
        <v>503</v>
      </c>
      <c r="K117" s="450"/>
      <c r="O117" s="164" t="s">
        <v>44</v>
      </c>
      <c r="P117" s="383" t="s">
        <v>43</v>
      </c>
      <c r="Q117" s="163" t="s">
        <v>45</v>
      </c>
      <c r="R117" s="163" t="s">
        <v>41</v>
      </c>
      <c r="T117" s="163" t="s">
        <v>40</v>
      </c>
    </row>
    <row r="118" spans="2:20" ht="12.75" hidden="1" x14ac:dyDescent="0.2">
      <c r="B118" s="5" t="s">
        <v>150</v>
      </c>
      <c r="C118" s="5"/>
      <c r="G118" t="s">
        <v>348</v>
      </c>
      <c r="J118" s="450" t="s">
        <v>504</v>
      </c>
      <c r="K118" s="450"/>
      <c r="O118" s="164" t="s">
        <v>46</v>
      </c>
      <c r="P118" s="383" t="s">
        <v>45</v>
      </c>
      <c r="Q118" s="163" t="s">
        <v>47</v>
      </c>
      <c r="R118" s="163" t="s">
        <v>43</v>
      </c>
      <c r="T118" s="163" t="s">
        <v>42</v>
      </c>
    </row>
    <row r="119" spans="2:20" ht="12.75" hidden="1" x14ac:dyDescent="0.2">
      <c r="B119" s="5" t="s">
        <v>151</v>
      </c>
      <c r="C119" s="5"/>
      <c r="G119" t="s">
        <v>623</v>
      </c>
      <c r="J119" s="450" t="s">
        <v>619</v>
      </c>
      <c r="K119" s="450"/>
      <c r="O119" s="164" t="s">
        <v>48</v>
      </c>
      <c r="P119" s="383" t="s">
        <v>47</v>
      </c>
      <c r="Q119" s="163" t="s">
        <v>49</v>
      </c>
      <c r="R119" s="163" t="s">
        <v>45</v>
      </c>
      <c r="T119" s="163" t="s">
        <v>44</v>
      </c>
    </row>
    <row r="120" spans="2:20" ht="12.75" hidden="1" x14ac:dyDescent="0.2">
      <c r="B120" s="5" t="s">
        <v>152</v>
      </c>
      <c r="C120" s="5"/>
      <c r="G120" t="s">
        <v>624</v>
      </c>
      <c r="J120" s="166" t="s">
        <v>357</v>
      </c>
      <c r="K120" s="166"/>
      <c r="O120" s="164" t="s">
        <v>50</v>
      </c>
      <c r="P120" s="383" t="s">
        <v>49</v>
      </c>
      <c r="Q120" s="163" t="s">
        <v>51</v>
      </c>
      <c r="R120" s="163" t="s">
        <v>47</v>
      </c>
      <c r="T120" s="163" t="s">
        <v>46</v>
      </c>
    </row>
    <row r="121" spans="2:20" ht="12.75" hidden="1" x14ac:dyDescent="0.2">
      <c r="B121" s="5" t="s">
        <v>153</v>
      </c>
      <c r="C121" s="5"/>
      <c r="G121" t="s">
        <v>625</v>
      </c>
      <c r="O121" s="164" t="s">
        <v>52</v>
      </c>
      <c r="P121" s="383" t="s">
        <v>51</v>
      </c>
      <c r="Q121" s="163" t="s">
        <v>53</v>
      </c>
      <c r="R121" s="163" t="s">
        <v>49</v>
      </c>
      <c r="T121" s="163" t="s">
        <v>48</v>
      </c>
    </row>
    <row r="122" spans="2:20" ht="12.75" hidden="1" x14ac:dyDescent="0.2">
      <c r="B122" s="5" t="s">
        <v>154</v>
      </c>
      <c r="C122" s="5"/>
      <c r="G122" t="s">
        <v>626</v>
      </c>
      <c r="J122" s="450" t="s">
        <v>135</v>
      </c>
      <c r="K122" s="383"/>
      <c r="O122" s="164" t="s">
        <v>54</v>
      </c>
      <c r="P122" s="383" t="s">
        <v>53</v>
      </c>
      <c r="Q122" s="163" t="s">
        <v>55</v>
      </c>
      <c r="R122" s="163" t="s">
        <v>51</v>
      </c>
      <c r="T122" s="163" t="s">
        <v>50</v>
      </c>
    </row>
    <row r="123" spans="2:20" ht="12.75" hidden="1" x14ac:dyDescent="0.2">
      <c r="B123" s="5" t="s">
        <v>155</v>
      </c>
      <c r="C123" s="5"/>
      <c r="G123" t="s">
        <v>627</v>
      </c>
      <c r="J123" s="383" t="s">
        <v>505</v>
      </c>
      <c r="K123" s="383"/>
      <c r="O123" s="164" t="s">
        <v>56</v>
      </c>
      <c r="P123" s="383" t="s">
        <v>55</v>
      </c>
      <c r="Q123" s="163" t="s">
        <v>57</v>
      </c>
      <c r="R123" s="163" t="s">
        <v>53</v>
      </c>
      <c r="T123" s="163" t="s">
        <v>52</v>
      </c>
    </row>
    <row r="124" spans="2:20" ht="12.75" hidden="1" x14ac:dyDescent="0.2">
      <c r="B124" s="5" t="s">
        <v>156</v>
      </c>
      <c r="C124" s="5"/>
      <c r="G124" t="s">
        <v>628</v>
      </c>
      <c r="J124" s="383" t="s">
        <v>506</v>
      </c>
      <c r="K124" s="383"/>
      <c r="O124" s="164" t="s">
        <v>58</v>
      </c>
      <c r="P124" s="383" t="s">
        <v>57</v>
      </c>
      <c r="Q124" s="163" t="s">
        <v>59</v>
      </c>
      <c r="R124" s="163" t="s">
        <v>55</v>
      </c>
      <c r="T124" s="163" t="s">
        <v>54</v>
      </c>
    </row>
    <row r="125" spans="2:20" ht="12.75" hidden="1" x14ac:dyDescent="0.2">
      <c r="B125" s="5" t="s">
        <v>157</v>
      </c>
      <c r="C125" s="5"/>
      <c r="G125" t="s">
        <v>629</v>
      </c>
      <c r="J125" s="383" t="s">
        <v>507</v>
      </c>
      <c r="K125" s="383"/>
      <c r="O125" s="164" t="s">
        <v>60</v>
      </c>
      <c r="P125" s="383" t="s">
        <v>59</v>
      </c>
      <c r="Q125" s="163" t="s">
        <v>61</v>
      </c>
      <c r="R125" s="163" t="s">
        <v>57</v>
      </c>
      <c r="T125" s="163" t="s">
        <v>56</v>
      </c>
    </row>
    <row r="126" spans="2:20" ht="12.75" hidden="1" x14ac:dyDescent="0.2">
      <c r="B126" s="5" t="s">
        <v>158</v>
      </c>
      <c r="C126" s="5"/>
      <c r="G126" t="s">
        <v>630</v>
      </c>
      <c r="J126" s="383" t="s">
        <v>508</v>
      </c>
      <c r="K126" s="383"/>
      <c r="O126" s="164" t="s">
        <v>62</v>
      </c>
      <c r="P126" s="383" t="s">
        <v>61</v>
      </c>
      <c r="Q126" s="163" t="s">
        <v>63</v>
      </c>
      <c r="R126" s="163" t="s">
        <v>59</v>
      </c>
      <c r="T126" s="163" t="s">
        <v>58</v>
      </c>
    </row>
    <row r="127" spans="2:20" ht="12.75" hidden="1" x14ac:dyDescent="0.2">
      <c r="B127" s="5" t="s">
        <v>159</v>
      </c>
      <c r="C127" s="5"/>
      <c r="G127" t="s">
        <v>631</v>
      </c>
      <c r="J127" s="383" t="s">
        <v>509</v>
      </c>
      <c r="K127" s="383"/>
      <c r="O127" s="164" t="s">
        <v>64</v>
      </c>
      <c r="P127" s="383" t="s">
        <v>63</v>
      </c>
      <c r="Q127" s="163" t="s">
        <v>65</v>
      </c>
      <c r="R127" s="163" t="s">
        <v>61</v>
      </c>
      <c r="T127" s="163" t="s">
        <v>60</v>
      </c>
    </row>
    <row r="128" spans="2:20" ht="12.75" hidden="1" x14ac:dyDescent="0.2">
      <c r="B128" s="5" t="s">
        <v>160</v>
      </c>
      <c r="C128" s="5"/>
      <c r="G128" t="s">
        <v>632</v>
      </c>
      <c r="J128" s="383" t="s">
        <v>510</v>
      </c>
      <c r="K128" s="383"/>
      <c r="O128" s="164" t="s">
        <v>66</v>
      </c>
      <c r="P128" s="383" t="s">
        <v>65</v>
      </c>
      <c r="Q128" s="163" t="s">
        <v>67</v>
      </c>
      <c r="R128" s="163" t="s">
        <v>63</v>
      </c>
    </row>
    <row r="129" spans="2:18" ht="12.75" hidden="1" x14ac:dyDescent="0.2">
      <c r="B129" s="5" t="s">
        <v>161</v>
      </c>
      <c r="C129" s="5"/>
      <c r="G129" t="s">
        <v>633</v>
      </c>
      <c r="J129" s="383" t="s">
        <v>620</v>
      </c>
      <c r="K129" s="163"/>
      <c r="O129" s="164" t="s">
        <v>68</v>
      </c>
      <c r="P129" s="383" t="s">
        <v>67</v>
      </c>
      <c r="Q129" s="163" t="s">
        <v>69</v>
      </c>
      <c r="R129" s="163" t="s">
        <v>65</v>
      </c>
    </row>
    <row r="130" spans="2:18" ht="12.75" hidden="1" x14ac:dyDescent="0.2">
      <c r="B130" s="5" t="s">
        <v>162</v>
      </c>
      <c r="C130" s="5"/>
      <c r="G130" t="s">
        <v>634</v>
      </c>
      <c r="O130" s="164" t="s">
        <v>70</v>
      </c>
      <c r="P130" s="383" t="s">
        <v>69</v>
      </c>
      <c r="Q130" s="163" t="s">
        <v>71</v>
      </c>
      <c r="R130" s="163" t="s">
        <v>67</v>
      </c>
    </row>
    <row r="131" spans="2:18" ht="12.75" hidden="1" x14ac:dyDescent="0.2">
      <c r="B131" s="5" t="s">
        <v>163</v>
      </c>
      <c r="C131" s="5"/>
      <c r="G131" t="s">
        <v>635</v>
      </c>
      <c r="J131" s="166" t="s">
        <v>358</v>
      </c>
      <c r="K131" s="166"/>
      <c r="O131" s="164" t="s">
        <v>72</v>
      </c>
      <c r="P131" s="383" t="s">
        <v>71</v>
      </c>
      <c r="Q131" s="163" t="s">
        <v>73</v>
      </c>
      <c r="R131" s="163" t="s">
        <v>69</v>
      </c>
    </row>
    <row r="132" spans="2:18" ht="12.75" hidden="1" x14ac:dyDescent="0.2">
      <c r="B132" s="5" t="s">
        <v>164</v>
      </c>
      <c r="C132" s="5"/>
      <c r="O132" s="164" t="s">
        <v>74</v>
      </c>
      <c r="P132" s="383" t="s">
        <v>73</v>
      </c>
      <c r="Q132" s="383" t="s">
        <v>75</v>
      </c>
      <c r="R132" s="383" t="s">
        <v>71</v>
      </c>
    </row>
    <row r="133" spans="2:18" ht="12.75" hidden="1" x14ac:dyDescent="0.2">
      <c r="B133" s="6" t="s">
        <v>165</v>
      </c>
      <c r="C133" s="6"/>
      <c r="J133" s="163" t="s">
        <v>349</v>
      </c>
      <c r="K133" s="163"/>
      <c r="O133" s="164" t="s">
        <v>363</v>
      </c>
      <c r="P133" s="163" t="s">
        <v>407</v>
      </c>
      <c r="Q133" s="383" t="s">
        <v>407</v>
      </c>
      <c r="R133" s="163" t="s">
        <v>407</v>
      </c>
    </row>
    <row r="134" spans="2:18" ht="12.75" hidden="1" x14ac:dyDescent="0.2">
      <c r="B134" s="5" t="s">
        <v>166</v>
      </c>
      <c r="C134" s="5"/>
      <c r="J134" s="163" t="s">
        <v>350</v>
      </c>
      <c r="K134" s="163"/>
      <c r="O134" s="164"/>
      <c r="P134" s="164"/>
      <c r="Q134" s="164"/>
      <c r="R134" s="164"/>
    </row>
    <row r="135" spans="2:18" ht="12.75" hidden="1" x14ac:dyDescent="0.2">
      <c r="B135" s="5" t="s">
        <v>167</v>
      </c>
      <c r="C135" s="5"/>
      <c r="J135" s="163" t="s">
        <v>351</v>
      </c>
      <c r="K135" s="163"/>
      <c r="O135" s="164"/>
      <c r="P135" s="164"/>
      <c r="Q135" s="164"/>
      <c r="R135" s="164"/>
    </row>
    <row r="136" spans="2:18" ht="12.75" hidden="1" x14ac:dyDescent="0.2">
      <c r="B136" s="5" t="s">
        <v>168</v>
      </c>
      <c r="C136" s="5"/>
      <c r="J136" s="163"/>
      <c r="K136" s="163"/>
      <c r="O136" s="163"/>
      <c r="P136" s="163"/>
      <c r="Q136" s="163"/>
      <c r="R136" s="163"/>
    </row>
    <row r="137" spans="2:18" ht="12.75" hidden="1" x14ac:dyDescent="0.2">
      <c r="B137" s="5" t="s">
        <v>169</v>
      </c>
      <c r="C137" s="5"/>
      <c r="J137" s="166" t="s">
        <v>359</v>
      </c>
      <c r="K137" s="166"/>
      <c r="O137" s="163"/>
      <c r="P137" s="163"/>
      <c r="Q137" s="163"/>
      <c r="R137" s="163"/>
    </row>
    <row r="138" spans="2:18" ht="12.75" hidden="1" x14ac:dyDescent="0.2">
      <c r="B138" s="6" t="s">
        <v>170</v>
      </c>
      <c r="C138" s="6"/>
      <c r="O138" s="163"/>
      <c r="P138" s="163"/>
      <c r="Q138" s="163"/>
      <c r="R138" s="163"/>
    </row>
    <row r="139" spans="2:18" ht="12.75" hidden="1" x14ac:dyDescent="0.2">
      <c r="B139" s="5" t="s">
        <v>171</v>
      </c>
      <c r="C139" s="5"/>
      <c r="J139" s="163" t="s">
        <v>133</v>
      </c>
      <c r="K139" s="163"/>
      <c r="O139" s="163"/>
      <c r="P139" s="163"/>
      <c r="Q139" s="163"/>
      <c r="R139" s="163"/>
    </row>
    <row r="140" spans="2:18" ht="12.75" hidden="1" x14ac:dyDescent="0.2">
      <c r="B140" s="5" t="s">
        <v>172</v>
      </c>
      <c r="C140" s="5"/>
      <c r="J140" s="163" t="s">
        <v>135</v>
      </c>
      <c r="K140" s="163"/>
      <c r="O140" s="163"/>
      <c r="P140" s="163"/>
      <c r="Q140" s="163"/>
      <c r="R140" s="163"/>
    </row>
    <row r="141" spans="2:18" ht="12.75" hidden="1" x14ac:dyDescent="0.2">
      <c r="B141" s="6" t="s">
        <v>173</v>
      </c>
      <c r="C141" s="6"/>
      <c r="J141" s="163" t="s">
        <v>352</v>
      </c>
      <c r="K141" s="163"/>
      <c r="O141" s="163"/>
      <c r="P141" s="163"/>
      <c r="Q141" s="163"/>
      <c r="R141" s="163"/>
    </row>
    <row r="142" spans="2:18" ht="12.75" hidden="1" x14ac:dyDescent="0.2">
      <c r="B142" s="5" t="s">
        <v>174</v>
      </c>
      <c r="C142" s="5"/>
      <c r="O142" s="163"/>
      <c r="P142" s="163"/>
      <c r="Q142" s="163"/>
      <c r="R142" s="163"/>
    </row>
    <row r="143" spans="2:18" ht="336" hidden="1" x14ac:dyDescent="0.2">
      <c r="B143" s="5" t="s">
        <v>175</v>
      </c>
      <c r="C143" s="5"/>
      <c r="J143" s="441" t="s">
        <v>462</v>
      </c>
      <c r="K143" s="441"/>
      <c r="O143" s="163"/>
      <c r="P143" s="163"/>
      <c r="Q143" s="163"/>
      <c r="R143" s="163"/>
    </row>
    <row r="144" spans="2:18" ht="12.75" hidden="1" x14ac:dyDescent="0.2">
      <c r="B144" s="5" t="s">
        <v>176</v>
      </c>
      <c r="C144" s="5"/>
      <c r="O144" s="163"/>
      <c r="P144" s="163"/>
      <c r="Q144" s="163"/>
      <c r="R144" s="163"/>
    </row>
    <row r="145" spans="2:18" ht="12.75" hidden="1" x14ac:dyDescent="0.2">
      <c r="B145" s="5" t="s">
        <v>177</v>
      </c>
      <c r="C145" s="5"/>
      <c r="O145" s="163"/>
      <c r="P145" s="163"/>
      <c r="Q145" s="163"/>
      <c r="R145" s="163"/>
    </row>
    <row r="146" spans="2:18" ht="12.75" hidden="1" x14ac:dyDescent="0.2">
      <c r="B146" s="5" t="s">
        <v>178</v>
      </c>
      <c r="C146" s="5"/>
      <c r="O146" s="163"/>
      <c r="P146" s="163"/>
      <c r="Q146" s="163"/>
      <c r="R146" s="163"/>
    </row>
    <row r="147" spans="2:18" ht="12.75" hidden="1" x14ac:dyDescent="0.2">
      <c r="B147" s="5" t="s">
        <v>179</v>
      </c>
      <c r="C147" s="5"/>
      <c r="O147" s="163"/>
      <c r="P147" s="163"/>
      <c r="Q147" s="163"/>
      <c r="R147" s="163"/>
    </row>
    <row r="148" spans="2:18" ht="12.75" hidden="1" x14ac:dyDescent="0.2">
      <c r="B148" s="5" t="s">
        <v>180</v>
      </c>
      <c r="C148" s="5"/>
      <c r="O148" s="163"/>
      <c r="P148" s="163"/>
      <c r="Q148" s="163"/>
      <c r="R148" s="163"/>
    </row>
    <row r="149" spans="2:18" ht="12.75" hidden="1" x14ac:dyDescent="0.2">
      <c r="B149" s="5" t="s">
        <v>181</v>
      </c>
      <c r="C149" s="5"/>
      <c r="O149" s="163"/>
      <c r="P149" s="163"/>
      <c r="Q149" s="163"/>
      <c r="R149" s="163"/>
    </row>
    <row r="150" spans="2:18" ht="12.75" hidden="1" x14ac:dyDescent="0.2">
      <c r="B150" s="6" t="s">
        <v>182</v>
      </c>
      <c r="C150" s="6"/>
      <c r="O150" s="163"/>
      <c r="P150" s="163"/>
      <c r="Q150" s="163"/>
      <c r="R150" s="163"/>
    </row>
    <row r="151" spans="2:18" ht="12.75" hidden="1" x14ac:dyDescent="0.2">
      <c r="B151" s="5" t="s">
        <v>183</v>
      </c>
      <c r="C151" s="5"/>
      <c r="O151" s="163"/>
      <c r="P151" s="163"/>
      <c r="Q151" s="163"/>
      <c r="R151" s="163"/>
    </row>
    <row r="152" spans="2:18" ht="12.75" hidden="1" x14ac:dyDescent="0.2">
      <c r="B152" s="5" t="s">
        <v>184</v>
      </c>
      <c r="C152" s="5"/>
      <c r="O152" s="163"/>
      <c r="P152" s="163"/>
      <c r="Q152" s="163"/>
      <c r="R152" s="163"/>
    </row>
    <row r="153" spans="2:18" ht="12.75" hidden="1" x14ac:dyDescent="0.2">
      <c r="B153" s="6" t="s">
        <v>185</v>
      </c>
      <c r="C153" s="6"/>
      <c r="O153" s="163"/>
      <c r="P153" s="163"/>
      <c r="Q153" s="163"/>
      <c r="R153" s="163"/>
    </row>
    <row r="154" spans="2:18" ht="12.75" hidden="1" x14ac:dyDescent="0.2">
      <c r="B154" s="5" t="s">
        <v>186</v>
      </c>
      <c r="C154" s="5"/>
      <c r="O154" s="163"/>
      <c r="P154" s="163"/>
      <c r="Q154" s="163"/>
      <c r="R154" s="163"/>
    </row>
    <row r="155" spans="2:18" ht="12.75" hidden="1" x14ac:dyDescent="0.2">
      <c r="B155" s="6" t="s">
        <v>187</v>
      </c>
      <c r="C155" s="6"/>
      <c r="O155" s="163"/>
      <c r="P155" s="163"/>
      <c r="Q155" s="163"/>
      <c r="R155" s="163"/>
    </row>
    <row r="156" spans="2:18" ht="12.75" hidden="1" x14ac:dyDescent="0.2">
      <c r="B156" s="5" t="s">
        <v>188</v>
      </c>
      <c r="C156" s="5"/>
      <c r="O156" s="163"/>
      <c r="P156" s="163"/>
      <c r="Q156" s="163"/>
      <c r="R156" s="163"/>
    </row>
    <row r="157" spans="2:18" ht="12.75" hidden="1" x14ac:dyDescent="0.2">
      <c r="B157" s="5" t="s">
        <v>189</v>
      </c>
      <c r="C157" s="5"/>
      <c r="O157" s="163"/>
      <c r="P157" s="163"/>
      <c r="Q157" s="163"/>
      <c r="R157" s="163"/>
    </row>
    <row r="158" spans="2:18" ht="12.75" hidden="1" x14ac:dyDescent="0.2">
      <c r="B158" s="5" t="s">
        <v>190</v>
      </c>
      <c r="C158" s="5"/>
      <c r="O158" s="163"/>
      <c r="P158" s="163"/>
      <c r="Q158" s="163"/>
      <c r="R158" s="163"/>
    </row>
    <row r="159" spans="2:18" ht="12.75" hidden="1" x14ac:dyDescent="0.2">
      <c r="B159" s="5" t="s">
        <v>191</v>
      </c>
      <c r="C159" s="5"/>
      <c r="O159" s="163"/>
      <c r="P159" s="163"/>
      <c r="Q159" s="163"/>
      <c r="R159" s="163"/>
    </row>
    <row r="160" spans="2:18" ht="12.75" hidden="1" x14ac:dyDescent="0.2">
      <c r="B160" s="5" t="s">
        <v>192</v>
      </c>
      <c r="C160" s="5"/>
      <c r="O160" s="163"/>
      <c r="P160" s="163"/>
      <c r="Q160" s="163"/>
      <c r="R160" s="163"/>
    </row>
    <row r="161" spans="2:18" ht="12.75" hidden="1" x14ac:dyDescent="0.2">
      <c r="B161" s="6" t="s">
        <v>193</v>
      </c>
      <c r="C161" s="6"/>
      <c r="O161" s="163"/>
      <c r="P161" s="163"/>
      <c r="Q161" s="163"/>
      <c r="R161" s="163"/>
    </row>
    <row r="162" spans="2:18" ht="12.75" hidden="1" x14ac:dyDescent="0.2">
      <c r="B162" s="5" t="s">
        <v>194</v>
      </c>
      <c r="C162" s="5"/>
      <c r="O162" s="163"/>
      <c r="P162" s="163"/>
      <c r="Q162" s="163"/>
      <c r="R162" s="163"/>
    </row>
    <row r="163" spans="2:18" ht="12.75" hidden="1" x14ac:dyDescent="0.2">
      <c r="B163" s="5" t="s">
        <v>195</v>
      </c>
      <c r="C163" s="5"/>
      <c r="O163" s="163"/>
      <c r="P163" s="163"/>
      <c r="Q163" s="163"/>
      <c r="R163" s="163"/>
    </row>
    <row r="164" spans="2:18" ht="12.75" hidden="1" x14ac:dyDescent="0.2">
      <c r="B164" s="5" t="s">
        <v>196</v>
      </c>
      <c r="C164" s="5"/>
      <c r="O164" s="163"/>
      <c r="P164" s="163"/>
      <c r="Q164" s="163"/>
      <c r="R164" s="163"/>
    </row>
    <row r="165" spans="2:18" ht="12.75" hidden="1" x14ac:dyDescent="0.2">
      <c r="B165" s="5" t="s">
        <v>76</v>
      </c>
      <c r="C165" s="5"/>
      <c r="O165" s="163"/>
      <c r="P165" s="163"/>
      <c r="Q165" s="163"/>
      <c r="R165" s="163"/>
    </row>
    <row r="166" spans="2:18" ht="12.75" hidden="1" x14ac:dyDescent="0.2">
      <c r="B166" s="5" t="s">
        <v>197</v>
      </c>
      <c r="C166" s="5"/>
    </row>
    <row r="167" spans="2:18" ht="12.75" hidden="1" x14ac:dyDescent="0.2">
      <c r="B167" s="5" t="s">
        <v>198</v>
      </c>
      <c r="C167" s="5"/>
    </row>
    <row r="168" spans="2:18" ht="12.75" hidden="1" x14ac:dyDescent="0.2">
      <c r="B168" s="5" t="s">
        <v>199</v>
      </c>
      <c r="C168" s="5"/>
    </row>
    <row r="169" spans="2:18" ht="12.75" hidden="1" x14ac:dyDescent="0.2">
      <c r="B169" s="5" t="s">
        <v>200</v>
      </c>
      <c r="C169" s="5"/>
    </row>
    <row r="170" spans="2:18" ht="12.75" hidden="1" x14ac:dyDescent="0.2">
      <c r="B170" s="5" t="s">
        <v>201</v>
      </c>
      <c r="C170" s="5"/>
    </row>
    <row r="171" spans="2:18" ht="12.75" hidden="1" x14ac:dyDescent="0.2">
      <c r="B171" s="5" t="s">
        <v>202</v>
      </c>
      <c r="C171" s="5"/>
    </row>
    <row r="172" spans="2:18" ht="12.75" hidden="1" x14ac:dyDescent="0.2">
      <c r="B172" s="5" t="s">
        <v>203</v>
      </c>
      <c r="C172" s="5"/>
    </row>
    <row r="173" spans="2:18" ht="12.75" hidden="1" x14ac:dyDescent="0.2">
      <c r="B173" s="5" t="s">
        <v>204</v>
      </c>
      <c r="C173" s="5"/>
    </row>
    <row r="174" spans="2:18" ht="12.75" hidden="1" x14ac:dyDescent="0.2">
      <c r="B174" s="5" t="s">
        <v>205</v>
      </c>
      <c r="C174" s="5"/>
    </row>
    <row r="175" spans="2:18" ht="12.75" hidden="1" x14ac:dyDescent="0.2">
      <c r="B175" s="5" t="s">
        <v>206</v>
      </c>
      <c r="C175" s="5"/>
    </row>
    <row r="176" spans="2:18" ht="12.75" hidden="1" x14ac:dyDescent="0.2">
      <c r="B176" s="5" t="s">
        <v>207</v>
      </c>
      <c r="C176" s="5"/>
    </row>
    <row r="177" spans="2:3" ht="12.75" hidden="1" x14ac:dyDescent="0.2">
      <c r="B177" s="5" t="s">
        <v>208</v>
      </c>
      <c r="C177" s="5"/>
    </row>
    <row r="178" spans="2:3" ht="12.75" hidden="1" x14ac:dyDescent="0.2">
      <c r="B178" s="5" t="s">
        <v>209</v>
      </c>
      <c r="C178" s="5"/>
    </row>
    <row r="179" spans="2:3" ht="12.75" hidden="1" x14ac:dyDescent="0.2">
      <c r="B179" s="5" t="s">
        <v>210</v>
      </c>
      <c r="C179" s="5"/>
    </row>
    <row r="180" spans="2:3" ht="12.75" hidden="1" x14ac:dyDescent="0.2">
      <c r="B180" s="5" t="s">
        <v>211</v>
      </c>
      <c r="C180" s="5"/>
    </row>
    <row r="181" spans="2:3" ht="12.75" hidden="1" x14ac:dyDescent="0.2">
      <c r="B181" s="5" t="s">
        <v>212</v>
      </c>
      <c r="C181" s="5"/>
    </row>
    <row r="182" spans="2:3" ht="12.75" hidden="1" x14ac:dyDescent="0.2">
      <c r="B182" s="5" t="s">
        <v>213</v>
      </c>
      <c r="C182" s="5"/>
    </row>
    <row r="183" spans="2:3" ht="12.75" hidden="1" x14ac:dyDescent="0.2">
      <c r="B183" s="5" t="s">
        <v>214</v>
      </c>
      <c r="C183" s="5"/>
    </row>
    <row r="184" spans="2:3" ht="12.75" hidden="1" x14ac:dyDescent="0.2">
      <c r="B184" s="6" t="s">
        <v>215</v>
      </c>
      <c r="C184" s="6"/>
    </row>
    <row r="185" spans="2:3" ht="12.75" hidden="1" x14ac:dyDescent="0.2">
      <c r="B185" s="5" t="s">
        <v>216</v>
      </c>
      <c r="C185" s="5"/>
    </row>
    <row r="186" spans="2:3" ht="12.75" hidden="1" x14ac:dyDescent="0.2">
      <c r="B186" s="6" t="s">
        <v>217</v>
      </c>
      <c r="C186" s="6"/>
    </row>
    <row r="187" spans="2:3" ht="12.75" hidden="1" x14ac:dyDescent="0.2">
      <c r="B187" s="5" t="s">
        <v>218</v>
      </c>
      <c r="C187" s="5"/>
    </row>
    <row r="188" spans="2:3" ht="12.75" hidden="1" x14ac:dyDescent="0.2">
      <c r="B188" s="5" t="s">
        <v>219</v>
      </c>
      <c r="C188" s="5"/>
    </row>
    <row r="189" spans="2:3" ht="12.75" hidden="1" x14ac:dyDescent="0.2">
      <c r="B189" s="5" t="s">
        <v>220</v>
      </c>
      <c r="C189" s="5"/>
    </row>
    <row r="190" spans="2:3" ht="12.75" hidden="1" x14ac:dyDescent="0.2">
      <c r="B190" s="5" t="s">
        <v>221</v>
      </c>
      <c r="C190" s="5"/>
    </row>
    <row r="191" spans="2:3" ht="12.75" hidden="1" x14ac:dyDescent="0.2">
      <c r="B191" s="6" t="s">
        <v>222</v>
      </c>
      <c r="C191" s="6"/>
    </row>
    <row r="192" spans="2:3" ht="12.75" hidden="1" x14ac:dyDescent="0.2">
      <c r="B192" s="5" t="s">
        <v>223</v>
      </c>
      <c r="C192" s="5"/>
    </row>
    <row r="193" spans="2:3" ht="12.75" hidden="1" x14ac:dyDescent="0.2">
      <c r="B193" s="5" t="s">
        <v>224</v>
      </c>
      <c r="C193" s="5"/>
    </row>
    <row r="194" spans="2:3" ht="12.75" hidden="1" x14ac:dyDescent="0.2">
      <c r="B194" s="5" t="s">
        <v>225</v>
      </c>
      <c r="C194" s="5"/>
    </row>
    <row r="195" spans="2:3" ht="12.75" hidden="1" x14ac:dyDescent="0.2">
      <c r="B195" s="5" t="s">
        <v>226</v>
      </c>
      <c r="C195" s="5"/>
    </row>
    <row r="196" spans="2:3" ht="12.75" hidden="1" x14ac:dyDescent="0.2">
      <c r="B196" s="5" t="s">
        <v>227</v>
      </c>
      <c r="C196" s="5"/>
    </row>
    <row r="197" spans="2:3" ht="12.75" hidden="1" x14ac:dyDescent="0.2">
      <c r="B197" s="5" t="s">
        <v>228</v>
      </c>
      <c r="C197" s="5"/>
    </row>
    <row r="198" spans="2:3" ht="12.75" hidden="1" x14ac:dyDescent="0.2">
      <c r="B198" s="5" t="s">
        <v>229</v>
      </c>
      <c r="C198" s="5"/>
    </row>
    <row r="199" spans="2:3" ht="12.75" hidden="1" x14ac:dyDescent="0.2">
      <c r="B199" s="5" t="s">
        <v>230</v>
      </c>
      <c r="C199" s="5"/>
    </row>
    <row r="200" spans="2:3" ht="12.75" hidden="1" x14ac:dyDescent="0.2">
      <c r="B200" s="5" t="s">
        <v>231</v>
      </c>
      <c r="C200" s="5"/>
    </row>
    <row r="201" spans="2:3" ht="12.75" hidden="1" x14ac:dyDescent="0.2">
      <c r="B201" s="5" t="s">
        <v>232</v>
      </c>
      <c r="C201" s="5"/>
    </row>
    <row r="202" spans="2:3" ht="12.75" hidden="1" x14ac:dyDescent="0.2">
      <c r="B202" s="5" t="s">
        <v>233</v>
      </c>
      <c r="C202" s="5"/>
    </row>
    <row r="203" spans="2:3" ht="12.75" hidden="1" x14ac:dyDescent="0.2">
      <c r="B203" s="6" t="s">
        <v>234</v>
      </c>
      <c r="C203" s="6"/>
    </row>
    <row r="204" spans="2:3" ht="12.75" hidden="1" x14ac:dyDescent="0.2">
      <c r="B204" s="5" t="s">
        <v>235</v>
      </c>
      <c r="C204" s="5"/>
    </row>
    <row r="205" spans="2:3" ht="12.75" hidden="1" x14ac:dyDescent="0.2">
      <c r="B205" s="6" t="s">
        <v>236</v>
      </c>
      <c r="C205" s="6"/>
    </row>
    <row r="206" spans="2:3" ht="12.75" hidden="1" x14ac:dyDescent="0.2">
      <c r="B206" s="5" t="s">
        <v>237</v>
      </c>
      <c r="C206" s="5"/>
    </row>
    <row r="207" spans="2:3" ht="12.75" hidden="1" x14ac:dyDescent="0.2">
      <c r="B207" s="5" t="s">
        <v>238</v>
      </c>
      <c r="C207" s="5"/>
    </row>
    <row r="208" spans="2:3" ht="12.75" hidden="1" x14ac:dyDescent="0.2">
      <c r="B208" s="5" t="s">
        <v>239</v>
      </c>
      <c r="C208" s="5"/>
    </row>
    <row r="209" spans="2:3" ht="12.75" hidden="1" x14ac:dyDescent="0.2">
      <c r="B209" s="5" t="s">
        <v>240</v>
      </c>
      <c r="C209" s="5"/>
    </row>
    <row r="210" spans="2:3" ht="12.75" hidden="1" x14ac:dyDescent="0.2">
      <c r="B210" s="6" t="s">
        <v>241</v>
      </c>
      <c r="C210" s="6"/>
    </row>
    <row r="211" spans="2:3" ht="12.75" hidden="1" x14ac:dyDescent="0.2">
      <c r="B211" s="5" t="s">
        <v>242</v>
      </c>
      <c r="C211" s="5"/>
    </row>
    <row r="212" spans="2:3" ht="12.75" hidden="1" x14ac:dyDescent="0.2">
      <c r="B212" s="6" t="s">
        <v>243</v>
      </c>
      <c r="C212" s="6"/>
    </row>
    <row r="213" spans="2:3" ht="12.75" hidden="1" x14ac:dyDescent="0.2">
      <c r="B213" s="5" t="s">
        <v>244</v>
      </c>
      <c r="C213" s="5"/>
    </row>
    <row r="214" spans="2:3" ht="12.75" hidden="1" x14ac:dyDescent="0.2">
      <c r="B214" s="5" t="s">
        <v>245</v>
      </c>
      <c r="C214" s="5"/>
    </row>
    <row r="215" spans="2:3" ht="12.75" hidden="1" x14ac:dyDescent="0.2">
      <c r="B215" s="5" t="s">
        <v>246</v>
      </c>
      <c r="C215" s="5"/>
    </row>
    <row r="216" spans="2:3" ht="12.75" hidden="1" x14ac:dyDescent="0.2">
      <c r="B216" s="5" t="s">
        <v>247</v>
      </c>
      <c r="C216" s="5"/>
    </row>
    <row r="217" spans="2:3" ht="12.75" hidden="1" x14ac:dyDescent="0.2">
      <c r="B217" s="5" t="s">
        <v>248</v>
      </c>
      <c r="C217" s="5"/>
    </row>
    <row r="218" spans="2:3" ht="12.75" hidden="1" x14ac:dyDescent="0.2">
      <c r="B218" s="5" t="s">
        <v>249</v>
      </c>
      <c r="C218" s="5"/>
    </row>
    <row r="219" spans="2:3" ht="12.75" hidden="1" x14ac:dyDescent="0.2">
      <c r="B219" s="5" t="s">
        <v>250</v>
      </c>
      <c r="C219" s="5"/>
    </row>
    <row r="220" spans="2:3" ht="12.75" hidden="1" x14ac:dyDescent="0.2">
      <c r="B220" s="5" t="s">
        <v>251</v>
      </c>
      <c r="C220" s="5"/>
    </row>
    <row r="221" spans="2:3" ht="12.75" hidden="1" x14ac:dyDescent="0.2">
      <c r="B221" s="5" t="s">
        <v>252</v>
      </c>
      <c r="C221" s="5"/>
    </row>
    <row r="222" spans="2:3" ht="12.75" hidden="1" x14ac:dyDescent="0.2">
      <c r="B222" s="5" t="s">
        <v>253</v>
      </c>
      <c r="C222" s="5"/>
    </row>
    <row r="223" spans="2:3" ht="12.75" hidden="1" x14ac:dyDescent="0.2">
      <c r="B223" s="6" t="s">
        <v>411</v>
      </c>
      <c r="C223" s="6"/>
    </row>
    <row r="224" spans="2:3" ht="12.75" hidden="1" x14ac:dyDescent="0.2">
      <c r="B224" s="6" t="s">
        <v>254</v>
      </c>
      <c r="C224" s="6"/>
    </row>
    <row r="225" spans="2:3" ht="12.75" hidden="1" x14ac:dyDescent="0.2">
      <c r="B225" s="5" t="s">
        <v>255</v>
      </c>
      <c r="C225" s="5"/>
    </row>
    <row r="226" spans="2:3" ht="12.75" hidden="1" x14ac:dyDescent="0.2">
      <c r="B226" s="5" t="s">
        <v>256</v>
      </c>
      <c r="C226" s="5"/>
    </row>
    <row r="227" spans="2:3" ht="12.75" hidden="1" x14ac:dyDescent="0.2">
      <c r="B227" s="5" t="s">
        <v>257</v>
      </c>
      <c r="C227" s="5"/>
    </row>
    <row r="228" spans="2:3" ht="12.75" hidden="1" x14ac:dyDescent="0.2">
      <c r="B228" s="6" t="s">
        <v>258</v>
      </c>
      <c r="C228" s="6"/>
    </row>
    <row r="229" spans="2:3" ht="12.75" hidden="1" x14ac:dyDescent="0.2">
      <c r="B229" s="5" t="s">
        <v>259</v>
      </c>
      <c r="C229" s="5"/>
    </row>
    <row r="230" spans="2:3" ht="12.75" hidden="1" x14ac:dyDescent="0.2">
      <c r="B230" s="6" t="s">
        <v>260</v>
      </c>
      <c r="C230" s="6"/>
    </row>
    <row r="231" spans="2:3" ht="12.75" hidden="1" x14ac:dyDescent="0.2">
      <c r="B231" s="6" t="s">
        <v>261</v>
      </c>
      <c r="C231" s="6"/>
    </row>
    <row r="232" spans="2:3" ht="12.75" hidden="1" x14ac:dyDescent="0.2">
      <c r="B232" s="5" t="s">
        <v>262</v>
      </c>
      <c r="C232" s="5"/>
    </row>
    <row r="233" spans="2:3" ht="12.75" hidden="1" x14ac:dyDescent="0.2">
      <c r="B233" s="5" t="s">
        <v>263</v>
      </c>
      <c r="C233" s="5"/>
    </row>
    <row r="234" spans="2:3" ht="12.75" hidden="1" x14ac:dyDescent="0.2">
      <c r="B234" s="5" t="s">
        <v>264</v>
      </c>
      <c r="C234" s="5"/>
    </row>
    <row r="235" spans="2:3" ht="12.75" hidden="1" x14ac:dyDescent="0.2">
      <c r="B235" s="5" t="s">
        <v>265</v>
      </c>
      <c r="C235" s="5"/>
    </row>
    <row r="236" spans="2:3" ht="12.75" hidden="1" x14ac:dyDescent="0.2">
      <c r="B236" s="5" t="s">
        <v>266</v>
      </c>
      <c r="C236" s="5"/>
    </row>
    <row r="237" spans="2:3" ht="12.75" hidden="1" x14ac:dyDescent="0.2">
      <c r="B237" s="5" t="s">
        <v>267</v>
      </c>
      <c r="C237" s="5"/>
    </row>
    <row r="238" spans="2:3" ht="12.75" hidden="1" x14ac:dyDescent="0.2">
      <c r="B238" s="5" t="s">
        <v>268</v>
      </c>
      <c r="C238" s="5"/>
    </row>
    <row r="239" spans="2:3" ht="12.75" hidden="1" x14ac:dyDescent="0.2">
      <c r="B239" s="5" t="s">
        <v>269</v>
      </c>
      <c r="C239" s="5"/>
    </row>
    <row r="240" spans="2:3" ht="12.75" hidden="1" x14ac:dyDescent="0.2">
      <c r="B240" s="6" t="s">
        <v>270</v>
      </c>
      <c r="C240" s="6"/>
    </row>
    <row r="241" spans="2:3" ht="12.75" hidden="1" x14ac:dyDescent="0.2">
      <c r="B241" s="5" t="s">
        <v>271</v>
      </c>
      <c r="C241" s="5"/>
    </row>
    <row r="242" spans="2:3" ht="12.75" hidden="1" x14ac:dyDescent="0.2">
      <c r="B242" s="5" t="s">
        <v>272</v>
      </c>
      <c r="C242" s="5"/>
    </row>
    <row r="243" spans="2:3" ht="12.75" hidden="1" x14ac:dyDescent="0.2">
      <c r="B243" s="5" t="s">
        <v>273</v>
      </c>
      <c r="C243" s="5"/>
    </row>
    <row r="244" spans="2:3" ht="12.75" hidden="1" x14ac:dyDescent="0.2">
      <c r="B244" s="5" t="s">
        <v>274</v>
      </c>
      <c r="C244" s="5"/>
    </row>
    <row r="245" spans="2:3" ht="12.75" hidden="1" x14ac:dyDescent="0.2">
      <c r="B245" s="5" t="s">
        <v>275</v>
      </c>
      <c r="C245" s="5"/>
    </row>
    <row r="246" spans="2:3" ht="12.75" hidden="1" x14ac:dyDescent="0.2">
      <c r="B246" s="5" t="s">
        <v>276</v>
      </c>
      <c r="C246" s="5"/>
    </row>
    <row r="247" spans="2:3" ht="12.75" hidden="1" x14ac:dyDescent="0.2">
      <c r="B247" s="5" t="s">
        <v>277</v>
      </c>
      <c r="C247" s="5"/>
    </row>
    <row r="248" spans="2:3" ht="12.75" hidden="1" x14ac:dyDescent="0.2">
      <c r="B248" s="5" t="s">
        <v>278</v>
      </c>
      <c r="C248" s="5"/>
    </row>
    <row r="249" spans="2:3" ht="12.75" hidden="1" x14ac:dyDescent="0.2">
      <c r="B249" s="5" t="s">
        <v>279</v>
      </c>
      <c r="C249" s="5"/>
    </row>
    <row r="250" spans="2:3" ht="12.75" hidden="1" x14ac:dyDescent="0.2">
      <c r="B250" s="5" t="s">
        <v>280</v>
      </c>
      <c r="C250" s="5"/>
    </row>
    <row r="251" spans="2:3" ht="12.75" hidden="1" x14ac:dyDescent="0.2">
      <c r="B251" s="6" t="s">
        <v>281</v>
      </c>
      <c r="C251" s="6"/>
    </row>
    <row r="252" spans="2:3" ht="12.75" hidden="1" x14ac:dyDescent="0.2">
      <c r="B252" s="5" t="s">
        <v>282</v>
      </c>
      <c r="C252" s="5"/>
    </row>
  </sheetData>
  <sheetProtection password="C234" sheet="1"/>
  <protectedRanges>
    <protectedRange sqref="L21:L24 M23 L27:M27" name="Range4"/>
    <protectedRange sqref="J44:J51" name="Range3"/>
    <protectedRange sqref="L21" name="Range1"/>
    <protectedRange sqref="L22" name="Range2"/>
  </protectedRanges>
  <mergeCells count="10">
    <mergeCell ref="D41:E41"/>
    <mergeCell ref="O3:P3"/>
    <mergeCell ref="D4:O4"/>
    <mergeCell ref="F41:H41"/>
    <mergeCell ref="E11:O11"/>
    <mergeCell ref="E14:O14"/>
    <mergeCell ref="E15:O15"/>
    <mergeCell ref="F10:L10"/>
    <mergeCell ref="E16:O16"/>
    <mergeCell ref="E17:O17"/>
  </mergeCells>
  <phoneticPr fontId="3" type="noConversion"/>
  <dataValidations xWindow="989" yWindow="411" count="24">
    <dataValidation errorStyle="warning" allowBlank="1" showInputMessage="1" showErrorMessage="1" errorTitle="Expiring variation amount" error="The expiring variation amount must be entered as a whole negative number." sqref="D42:E44 L79 R68:S68 C92:C93 L81 M82:O90 G68:H81 C69:C90 B69:B93 F42:G52 G91 G92:H93 L91:N93 D83:D90 I91 L68:N68 M80:N81 L69:L77 B41:C52 B55:C66 H42:H51 E66:G66 L65 R54:S54 F56:G56 E46:E52 H55:H63 G54:H54 K42 J42:J43"/>
    <dataValidation type="list" allowBlank="1" showInputMessage="1" showErrorMessage="1" errorTitle="Select Council Name" error="Council name must be selected from the drop-down list." promptTitle="Select Council Name" prompt="Select your Council from the drop-down list." sqref="E11">
      <formula1>$B$100:$B$252</formula1>
    </dataValidation>
    <dataValidation errorStyle="warning" allowBlank="1" showInputMessage="1" showErrorMessage="1" errorTitle="Expiring variation amount" error="The expiring variation amount must be entered as a whole negative number." promptTitle="First yr SV % increase" prompt="This % increase reflects the additional income sought by Council in the first year (inc. the rate peg income) plus any Crown land adjustments._x000a__x000a_Refer to Worksheet 4 to enter in the requested 1st yr increase in % terms and any Crown land adjustments ($)." sqref="D45"/>
    <dataValidation errorStyle="warning" allowBlank="1" showInputMessage="1" showErrorMessage="1" errorTitle="Expiring variation amount" error="The expiring variation amount must be entered as a whole negative number." promptTitle="Rate peg %" prompt="Enter in the rate peg as determined by IPART, to be announced in December." sqref="E45"/>
    <dataValidation errorStyle="warning" allowBlank="1" showInputMessage="1" showErrorMessage="1" errorTitle="Expiring variation amount" error="The expiring variation amount must be entered as a whole negative number." promptTitle="Forward yr SV % increase" prompt="Enter in the total percentage increase to general income being sought in this year, including the rate peg increase, but excluding other income adjustments due to catch ups/excesses, valuation objections and Crown Land adjustments" sqref="D66 D46:D52"/>
    <dataValidation errorStyle="warning" allowBlank="1" showInputMessage="1" showErrorMessage="1" errorTitle="Expiring variation amount" error="The expiring variation amount must be entered as a whole negative number." prompt="These increases are due to the SV and exclude other income adjustments." sqref="D41 F41"/>
    <dataValidation type="list" allowBlank="1" showErrorMessage="1" error="You must select the date from the drop down list." promptTitle="Application Start Date          " prompt="Select the date of the first rating year for which this application applies" sqref="O3:P3">
      <formula1>$T$107:$T$127</formula1>
    </dataValidation>
    <dataValidation type="list" allowBlank="1" showInputMessage="1" showErrorMessage="1" sqref="L22">
      <formula1>$J$101:$J$107</formula1>
    </dataValidation>
    <dataValidation type="list" allowBlank="1" showInputMessage="1" showErrorMessage="1" sqref="L23">
      <formula1>$G$111:$I$111</formula1>
    </dataValidation>
    <dataValidation type="list" allowBlank="1" showInputMessage="1" showErrorMessage="1" sqref="L27">
      <formula1>$J$110:$J$119</formula1>
    </dataValidation>
    <dataValidation type="list" showInputMessage="1" showErrorMessage="1" sqref="P29:P30">
      <formula1>$J$133:$J$140</formula1>
    </dataValidation>
    <dataValidation type="list" allowBlank="1" showInputMessage="1" showErrorMessage="1" sqref="L21">
      <formula1>$H$99:$H$101</formula1>
    </dataValidation>
    <dataValidation errorStyle="warning" allowBlank="1" showInputMessage="1" showErrorMessage="1" errorTitle="Expiring variation amount" error="The expiring variation amount must be entered as a whole negative number." promptTitle="Previous year SV % increase" prompt="Enter in the percentage increase to general income for the original special variation that is now expiring (i.e.the original increase excluding the rate peg and any other permanent components)" sqref="L30"/>
    <dataValidation errorStyle="warning" allowBlank="1" showInputMessage="1" showErrorMessage="1" errorTitle="Expiring variation amount" error="The expiring variation amount must be entered as a whole negative number." promptTitle="Previous yr SV % increase" prompt="Enter in the percentage increase to general income for the original special variation that is now expiring (i.e.the original increase excluding the rate peg and any other permanent components)_x000a_" sqref="M30"/>
    <dataValidation errorStyle="warning" allowBlank="1" showInputMessage="1" showErrorMessage="1" errorTitle="Expiring variation amount" error="The expiring variation amount must be entered as a whole negative number." promptTitle="Forward yr SV % increase" prompt="Enter the the total percentage increase to general income being sought in the first year of the special vari, excluding the rate peg increase and excluding other income adjustments due to catch ups/excesses, valuation objections and Crown Land adjustments" sqref="L24"/>
    <dataValidation errorStyle="warning" allowBlank="1" showInputMessage="1" showErrorMessage="1" errorTitle="Expiring variation amount" error="The expiring variation amount must be entered as a whole negative number." promptTitle="Number of years before expiry" prompt="Enter in the total number of years before the special variation is due to expire i.e. 5, 10, 20." sqref="M23"/>
    <dataValidation errorStyle="warning" allowBlank="1" showInputMessage="1" showErrorMessage="1" errorTitle="Expiring variation amount" error="The expiring variation amount must be entered as a whole negative number." promptTitle="Percentage value of expiring SV" prompt="This cell calculates the percentage value of the expiring variation relative to the current year's general income" sqref="K44"/>
    <dataValidation errorStyle="warning" allowBlank="1" showInputMessage="1" showErrorMessage="1" errorTitle="Expiring variation amount" error="The expiring variation amount must be entered as a whole negative number." promptTitle="Previous year SV % increase" prompt="Enter in the total percentage increase to general income for the original special variation approved (i.e. including the rate peg)_x000a_" sqref="L29"/>
    <dataValidation errorStyle="warning" allowBlank="1" showInputMessage="1" showErrorMessage="1" errorTitle="Expiring variation amount" error="The expiring variation amount must be entered as a whole negative number." promptTitle="Previous yr SV % increase" prompt="Enter in the total percentage increase to general income for the original special variation approved (i.e. including the rate peg)_x000a__x000a_" sqref="M29"/>
    <dataValidation allowBlank="1" showInputMessage="1" showErrorMessage="1" promptTitle="Prior year catch up/excess" prompt="Enter the catch-up or excess amount, as advised by the Office of Local Government._x000a__x000a_A catch-up amount should be entered as a positive whole number._x000a__x000a_An excess amount should be entered as a negative whole number." sqref="L34"/>
    <dataValidation allowBlank="1" showInputMessage="1" showErrorMessage="1" promptTitle="Valuation Objections" prompt="If Council claimed any valuation objections in the previous year, notional general income must be adjusted back to its correct level._x000a__x000a_This adjustment should be verified by OLG before submission to IPART." sqref="L35"/>
    <dataValidation allowBlank="1" showInputMessage="1" showErrorMessage="1" promptTitle="Crown land adjustment" prompt="Some councils may also wish to claim an adjustment for Crown land. Refer to the Office of Local Government (OLG) for advice on this dollar amount." sqref="L33"/>
    <dataValidation errorStyle="warning" allowBlank="1" showInputMessage="1" showErrorMessage="1" errorTitle="Expiring variation amount" error="The expiring variation amount must be entered as a whole negative number." promptTitle="Expiring SV" prompt="Enter the amount of the expiring special variation as a positive whole number._x000a__x000a_Council must consult with the Office of Local Government about the correct amount of the expiring special variation, before submitting its application to IPART." sqref="J44:J51"/>
    <dataValidation type="list" allowBlank="1" showInputMessage="1" showErrorMessage="1" sqref="M27">
      <formula1>$J$121:$J$129</formula1>
    </dataValidation>
  </dataValidations>
  <printOptions horizontalCentered="1"/>
  <pageMargins left="0.25" right="0.25" top="0.75" bottom="0.75" header="0.3" footer="0.3"/>
  <pageSetup paperSize="9" scale="42" orientation="portrait" horizontalDpi="300" verticalDpi="300" r:id="rId1"/>
  <headerFooter alignWithMargins="0"/>
  <rowBreaks count="1" manualBreakCount="1">
    <brk id="91" max="14"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V171"/>
  <sheetViews>
    <sheetView showGridLines="0" topLeftCell="A89" zoomScaleNormal="100" workbookViewId="0">
      <selection activeCell="J102" sqref="J102"/>
    </sheetView>
  </sheetViews>
  <sheetFormatPr defaultRowHeight="12.75" x14ac:dyDescent="0.2"/>
  <cols>
    <col min="1" max="1" width="2.7109375" style="3" customWidth="1"/>
    <col min="2" max="2" width="10.140625" style="3" customWidth="1"/>
    <col min="3" max="3" width="20.140625" style="3" customWidth="1"/>
    <col min="4" max="4" width="14.42578125" style="3" customWidth="1"/>
    <col min="5" max="5" width="10.42578125" style="3" customWidth="1"/>
    <col min="6" max="7" width="9.42578125" style="3" customWidth="1"/>
    <col min="8" max="9" width="10.5703125" style="3" customWidth="1"/>
    <col min="10" max="10" width="21.5703125" style="3" customWidth="1"/>
    <col min="11" max="11" width="20.85546875" style="22" customWidth="1"/>
    <col min="12" max="12" width="23.7109375" style="22" customWidth="1"/>
    <col min="13" max="13" width="2.7109375" style="3" customWidth="1"/>
    <col min="14" max="14" width="5.28515625" style="3"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x14ac:dyDescent="0.2">
      <c r="A1" s="30"/>
      <c r="B1" s="31"/>
      <c r="C1" s="31"/>
      <c r="D1" s="32"/>
      <c r="E1" s="32"/>
      <c r="F1" s="32"/>
      <c r="G1" s="32"/>
      <c r="H1" s="32"/>
      <c r="I1" s="32"/>
      <c r="J1" s="32"/>
      <c r="K1" s="33"/>
      <c r="L1" s="34"/>
      <c r="M1" s="35"/>
    </row>
    <row r="2" spans="1:22" ht="15.75" x14ac:dyDescent="0.25">
      <c r="A2" s="36"/>
      <c r="B2" s="767" t="str">
        <f>'WK1 - Identification'!E11</f>
        <v>Shoalhaven City Council</v>
      </c>
      <c r="C2" s="768"/>
      <c r="D2" s="768"/>
      <c r="E2" s="768"/>
      <c r="F2" s="769"/>
      <c r="G2" s="38"/>
      <c r="H2" s="38"/>
      <c r="I2" s="38"/>
      <c r="J2" s="38"/>
      <c r="K2" s="39"/>
      <c r="L2" s="127"/>
      <c r="M2" s="41"/>
    </row>
    <row r="3" spans="1:22" ht="18" x14ac:dyDescent="0.25">
      <c r="A3" s="36"/>
      <c r="B3" s="42"/>
      <c r="C3" s="42"/>
      <c r="D3" s="38"/>
      <c r="E3" s="38"/>
      <c r="F3" s="43"/>
      <c r="G3" s="38"/>
      <c r="H3" s="38"/>
      <c r="I3" s="38"/>
      <c r="J3" s="38"/>
      <c r="K3" s="39"/>
      <c r="L3" s="44"/>
      <c r="M3" s="45"/>
    </row>
    <row r="4" spans="1:22" ht="26.25" x14ac:dyDescent="0.4">
      <c r="A4" s="36"/>
      <c r="B4" s="757" t="s">
        <v>283</v>
      </c>
      <c r="C4" s="757"/>
      <c r="D4" s="757"/>
      <c r="E4" s="757"/>
      <c r="F4" s="757"/>
      <c r="G4" s="757"/>
      <c r="H4" s="757"/>
      <c r="I4" s="757"/>
      <c r="J4" s="757"/>
      <c r="K4" s="757"/>
      <c r="L4" s="757"/>
      <c r="M4" s="46"/>
    </row>
    <row r="5" spans="1:22" x14ac:dyDescent="0.2">
      <c r="A5" s="36"/>
      <c r="B5" s="47"/>
      <c r="C5" s="47"/>
      <c r="D5" s="42"/>
      <c r="E5" s="42"/>
      <c r="F5" s="42"/>
      <c r="G5" s="42"/>
      <c r="H5" s="42"/>
      <c r="I5" s="42"/>
      <c r="J5" s="38"/>
      <c r="K5" s="39"/>
      <c r="L5" s="39"/>
      <c r="M5" s="48"/>
    </row>
    <row r="6" spans="1:22" ht="30" x14ac:dyDescent="0.4">
      <c r="A6" s="36"/>
      <c r="B6" s="772" t="s">
        <v>640</v>
      </c>
      <c r="C6" s="772"/>
      <c r="D6" s="772"/>
      <c r="E6" s="772"/>
      <c r="F6" s="772"/>
      <c r="G6" s="772"/>
      <c r="H6" s="772"/>
      <c r="I6" s="772"/>
      <c r="J6" s="772"/>
      <c r="K6" s="772"/>
      <c r="L6" s="772"/>
      <c r="M6" s="48"/>
    </row>
    <row r="7" spans="1:22" ht="23.25" x14ac:dyDescent="0.35">
      <c r="A7" s="36"/>
      <c r="B7" s="770" t="s">
        <v>78</v>
      </c>
      <c r="C7" s="770"/>
      <c r="D7" s="770"/>
      <c r="E7" s="770"/>
      <c r="F7" s="770"/>
      <c r="G7" s="770"/>
      <c r="H7" s="770"/>
      <c r="I7" s="770"/>
      <c r="J7" s="770"/>
      <c r="K7" s="770"/>
      <c r="L7" s="770"/>
      <c r="M7" s="48"/>
    </row>
    <row r="8" spans="1:22" ht="15.75" x14ac:dyDescent="0.25">
      <c r="A8" s="36"/>
      <c r="B8" s="773"/>
      <c r="C8" s="773"/>
      <c r="D8" s="773"/>
      <c r="E8" s="773"/>
      <c r="F8" s="773"/>
      <c r="G8" s="773"/>
      <c r="H8" s="773"/>
      <c r="I8" s="773"/>
      <c r="J8" s="773"/>
      <c r="K8" s="773"/>
      <c r="L8" s="773"/>
      <c r="M8" s="45"/>
    </row>
    <row r="9" spans="1:22" ht="60.75" customHeight="1" x14ac:dyDescent="0.25">
      <c r="A9" s="36"/>
      <c r="B9" s="771" t="s">
        <v>79</v>
      </c>
      <c r="C9" s="771"/>
      <c r="D9" s="771"/>
      <c r="E9" s="771"/>
      <c r="F9" s="771"/>
      <c r="G9" s="771"/>
      <c r="H9" s="771"/>
      <c r="I9" s="771"/>
      <c r="J9" s="771"/>
      <c r="K9" s="771"/>
      <c r="L9" s="771"/>
      <c r="M9" s="45"/>
    </row>
    <row r="10" spans="1:22" ht="18" x14ac:dyDescent="0.25">
      <c r="A10" s="36"/>
      <c r="B10" s="190"/>
      <c r="C10" s="191"/>
      <c r="D10" s="191"/>
      <c r="E10" s="191"/>
      <c r="F10" s="191"/>
      <c r="G10" s="191"/>
      <c r="H10" s="191"/>
      <c r="I10" s="191"/>
      <c r="J10" s="191"/>
      <c r="K10" s="191"/>
      <c r="L10" s="191"/>
      <c r="M10" s="45"/>
    </row>
    <row r="11" spans="1:22" ht="23.25" x14ac:dyDescent="0.35">
      <c r="A11" s="36"/>
      <c r="B11" s="190"/>
      <c r="C11" s="774" t="s">
        <v>412</v>
      </c>
      <c r="D11" s="774"/>
      <c r="E11" s="774"/>
      <c r="F11" s="774"/>
      <c r="G11" s="774"/>
      <c r="H11" s="774"/>
      <c r="I11" s="774"/>
      <c r="J11" s="774"/>
      <c r="K11" s="774"/>
      <c r="L11" s="191"/>
      <c r="M11" s="45"/>
    </row>
    <row r="12" spans="1:22" ht="12" x14ac:dyDescent="0.2">
      <c r="A12" s="36"/>
      <c r="B12" s="38"/>
      <c r="C12" s="38"/>
      <c r="D12" s="38"/>
      <c r="E12" s="38"/>
      <c r="F12" s="38"/>
      <c r="G12" s="38"/>
      <c r="H12" s="38"/>
      <c r="I12" s="38"/>
      <c r="J12" s="38"/>
      <c r="K12" s="38"/>
      <c r="L12" s="38"/>
      <c r="M12" s="45"/>
    </row>
    <row r="13" spans="1:22" s="7" customFormat="1" ht="51" x14ac:dyDescent="0.2">
      <c r="A13" s="51"/>
      <c r="B13" s="52" t="s">
        <v>284</v>
      </c>
      <c r="C13" s="52" t="s">
        <v>285</v>
      </c>
      <c r="D13" s="52" t="s">
        <v>339</v>
      </c>
      <c r="E13" s="54" t="s">
        <v>693</v>
      </c>
      <c r="F13" s="52" t="s">
        <v>80</v>
      </c>
      <c r="G13" s="52" t="s">
        <v>288</v>
      </c>
      <c r="H13" s="53" t="s">
        <v>81</v>
      </c>
      <c r="I13" s="52" t="s">
        <v>289</v>
      </c>
      <c r="J13" s="54" t="s">
        <v>290</v>
      </c>
      <c r="K13" s="55" t="s">
        <v>291</v>
      </c>
      <c r="L13" s="430" t="s">
        <v>514</v>
      </c>
      <c r="M13" s="56"/>
    </row>
    <row r="14" spans="1:22" s="7" customFormat="1" ht="6" hidden="1" customHeight="1" x14ac:dyDescent="0.2">
      <c r="A14" s="8"/>
      <c r="B14" s="9" t="s">
        <v>292</v>
      </c>
      <c r="C14" s="9" t="s">
        <v>293</v>
      </c>
      <c r="D14" s="9" t="s">
        <v>294</v>
      </c>
      <c r="E14" s="9" t="s">
        <v>295</v>
      </c>
      <c r="F14" s="9" t="s">
        <v>296</v>
      </c>
      <c r="G14" s="10"/>
      <c r="H14" s="11" t="s">
        <v>297</v>
      </c>
      <c r="I14" s="9" t="s">
        <v>298</v>
      </c>
      <c r="J14" s="12" t="s">
        <v>299</v>
      </c>
      <c r="K14" s="12" t="s">
        <v>300</v>
      </c>
      <c r="L14" s="128" t="s">
        <v>301</v>
      </c>
      <c r="M14" s="56"/>
      <c r="O14" s="7" t="s">
        <v>292</v>
      </c>
      <c r="P14" s="7" t="s">
        <v>296</v>
      </c>
      <c r="Q14" s="7" t="s">
        <v>292</v>
      </c>
      <c r="R14" s="7" t="s">
        <v>296</v>
      </c>
      <c r="S14" s="7" t="s">
        <v>292</v>
      </c>
      <c r="T14" s="7" t="s">
        <v>296</v>
      </c>
      <c r="U14" s="7" t="s">
        <v>292</v>
      </c>
      <c r="V14" s="7" t="s">
        <v>296</v>
      </c>
    </row>
    <row r="15" spans="1:22" x14ac:dyDescent="0.2">
      <c r="A15" s="36"/>
      <c r="B15" s="619" t="s">
        <v>304</v>
      </c>
      <c r="C15" s="16"/>
      <c r="D15" s="17">
        <v>51389</v>
      </c>
      <c r="E15" s="18">
        <v>0.21948999999999999</v>
      </c>
      <c r="F15" s="17">
        <v>485</v>
      </c>
      <c r="G15" s="57">
        <f t="shared" ref="G15:G82" si="0">IF(F15="","",D15*F15/L15)</f>
        <v>0.50001639731308001</v>
      </c>
      <c r="H15" s="17"/>
      <c r="I15" s="17"/>
      <c r="J15" s="19">
        <v>11354517440</v>
      </c>
      <c r="K15" s="19"/>
      <c r="L15" s="58">
        <f t="shared" ref="L15:L82" si="1">IF(D15="","",IF(F15&lt;&gt;"",F15*D15+J15*(E15/100),(J15-K15)*(E15/100)+H15*I15))</f>
        <v>49845695.329056002</v>
      </c>
      <c r="M15" s="45"/>
      <c r="O15" s="3" t="s">
        <v>302</v>
      </c>
      <c r="P15" s="3" t="s">
        <v>303</v>
      </c>
      <c r="Q15" s="3" t="s">
        <v>304</v>
      </c>
      <c r="R15" s="3" t="s">
        <v>303</v>
      </c>
      <c r="S15" s="3" t="s">
        <v>305</v>
      </c>
      <c r="T15" s="3" t="s">
        <v>303</v>
      </c>
      <c r="U15" s="3" t="s">
        <v>306</v>
      </c>
      <c r="V15" s="3" t="s">
        <v>303</v>
      </c>
    </row>
    <row r="16" spans="1:22" x14ac:dyDescent="0.2">
      <c r="A16" s="36"/>
      <c r="B16" s="619" t="s">
        <v>304</v>
      </c>
      <c r="C16" s="16" t="s">
        <v>935</v>
      </c>
      <c r="D16" s="17">
        <v>1114</v>
      </c>
      <c r="E16" s="18">
        <v>0.12128</v>
      </c>
      <c r="F16" s="17">
        <v>28.9</v>
      </c>
      <c r="G16" s="57">
        <f t="shared" si="0"/>
        <v>0.43533836416393684</v>
      </c>
      <c r="H16" s="17"/>
      <c r="I16" s="17"/>
      <c r="J16" s="19">
        <v>34431440</v>
      </c>
      <c r="K16" s="19"/>
      <c r="L16" s="58">
        <f t="shared" si="1"/>
        <v>73953.050431999989</v>
      </c>
      <c r="M16" s="45"/>
    </row>
    <row r="17" spans="1:13" x14ac:dyDescent="0.2">
      <c r="A17" s="36"/>
      <c r="B17" s="619" t="s">
        <v>304</v>
      </c>
      <c r="C17" s="16"/>
      <c r="D17" s="17"/>
      <c r="E17" s="18"/>
      <c r="F17" s="17"/>
      <c r="G17" s="57" t="str">
        <f t="shared" si="0"/>
        <v/>
      </c>
      <c r="H17" s="17"/>
      <c r="I17" s="17"/>
      <c r="J17" s="19"/>
      <c r="K17" s="19"/>
      <c r="L17" s="58" t="str">
        <f t="shared" si="1"/>
        <v/>
      </c>
      <c r="M17" s="45"/>
    </row>
    <row r="18" spans="1:13" x14ac:dyDescent="0.2">
      <c r="A18" s="36"/>
      <c r="B18" s="619" t="s">
        <v>304</v>
      </c>
      <c r="C18" s="16"/>
      <c r="D18" s="17"/>
      <c r="E18" s="18"/>
      <c r="F18" s="17"/>
      <c r="G18" s="57" t="str">
        <f t="shared" si="0"/>
        <v/>
      </c>
      <c r="H18" s="17"/>
      <c r="I18" s="17"/>
      <c r="J18" s="19"/>
      <c r="K18" s="19"/>
      <c r="L18" s="58" t="str">
        <f t="shared" si="1"/>
        <v/>
      </c>
      <c r="M18" s="45"/>
    </row>
    <row r="19" spans="1:13" x14ac:dyDescent="0.2">
      <c r="A19" s="36"/>
      <c r="B19" s="619" t="s">
        <v>304</v>
      </c>
      <c r="C19" s="16"/>
      <c r="D19" s="17"/>
      <c r="E19" s="18"/>
      <c r="F19" s="17"/>
      <c r="G19" s="57" t="str">
        <f t="shared" si="0"/>
        <v/>
      </c>
      <c r="H19" s="17"/>
      <c r="I19" s="17"/>
      <c r="J19" s="19"/>
      <c r="K19" s="19"/>
      <c r="L19" s="58" t="str">
        <f t="shared" si="1"/>
        <v/>
      </c>
      <c r="M19" s="45"/>
    </row>
    <row r="20" spans="1:13" x14ac:dyDescent="0.2">
      <c r="A20" s="36"/>
      <c r="B20" s="619" t="s">
        <v>304</v>
      </c>
      <c r="C20" s="16"/>
      <c r="D20" s="17"/>
      <c r="E20" s="18"/>
      <c r="F20" s="17"/>
      <c r="G20" s="57" t="str">
        <f t="shared" si="0"/>
        <v/>
      </c>
      <c r="H20" s="17"/>
      <c r="I20" s="17"/>
      <c r="J20" s="19"/>
      <c r="K20" s="19"/>
      <c r="L20" s="58" t="str">
        <f t="shared" si="1"/>
        <v/>
      </c>
      <c r="M20" s="45"/>
    </row>
    <row r="21" spans="1:13" x14ac:dyDescent="0.2">
      <c r="A21" s="36"/>
      <c r="B21" s="619" t="s">
        <v>304</v>
      </c>
      <c r="C21" s="16"/>
      <c r="D21" s="17"/>
      <c r="E21" s="18"/>
      <c r="F21" s="17"/>
      <c r="G21" s="57" t="str">
        <f t="shared" si="0"/>
        <v/>
      </c>
      <c r="H21" s="17"/>
      <c r="I21" s="17"/>
      <c r="J21" s="19"/>
      <c r="K21" s="19"/>
      <c r="L21" s="58" t="str">
        <f t="shared" si="1"/>
        <v/>
      </c>
      <c r="M21" s="45"/>
    </row>
    <row r="22" spans="1:13" x14ac:dyDescent="0.2">
      <c r="A22" s="36"/>
      <c r="B22" s="619" t="s">
        <v>304</v>
      </c>
      <c r="C22" s="16"/>
      <c r="D22" s="17"/>
      <c r="E22" s="18"/>
      <c r="F22" s="17"/>
      <c r="G22" s="57" t="str">
        <f t="shared" si="0"/>
        <v/>
      </c>
      <c r="H22" s="17"/>
      <c r="I22" s="17"/>
      <c r="J22" s="19"/>
      <c r="K22" s="19"/>
      <c r="L22" s="58" t="str">
        <f t="shared" si="1"/>
        <v/>
      </c>
      <c r="M22" s="45"/>
    </row>
    <row r="23" spans="1:13" x14ac:dyDescent="0.2">
      <c r="A23" s="36"/>
      <c r="B23" s="619" t="s">
        <v>304</v>
      </c>
      <c r="C23" s="16"/>
      <c r="D23" s="17"/>
      <c r="E23" s="18"/>
      <c r="F23" s="17"/>
      <c r="G23" s="57" t="str">
        <f t="shared" si="0"/>
        <v/>
      </c>
      <c r="H23" s="17"/>
      <c r="I23" s="17"/>
      <c r="J23" s="19"/>
      <c r="K23" s="19"/>
      <c r="L23" s="58" t="str">
        <f t="shared" si="1"/>
        <v/>
      </c>
      <c r="M23" s="45"/>
    </row>
    <row r="24" spans="1:13" x14ac:dyDescent="0.2">
      <c r="A24" s="36"/>
      <c r="B24" s="619" t="s">
        <v>304</v>
      </c>
      <c r="C24" s="16"/>
      <c r="D24" s="17"/>
      <c r="E24" s="18"/>
      <c r="F24" s="17"/>
      <c r="G24" s="57" t="str">
        <f t="shared" si="0"/>
        <v/>
      </c>
      <c r="H24" s="17"/>
      <c r="I24" s="17"/>
      <c r="J24" s="19"/>
      <c r="K24" s="19"/>
      <c r="L24" s="58" t="str">
        <f t="shared" si="1"/>
        <v/>
      </c>
      <c r="M24" s="45"/>
    </row>
    <row r="25" spans="1:13" x14ac:dyDescent="0.2">
      <c r="A25" s="36"/>
      <c r="B25" s="619" t="s">
        <v>304</v>
      </c>
      <c r="C25" s="16"/>
      <c r="D25" s="17"/>
      <c r="E25" s="18"/>
      <c r="F25" s="17"/>
      <c r="G25" s="57" t="str">
        <f t="shared" si="0"/>
        <v/>
      </c>
      <c r="H25" s="17"/>
      <c r="I25" s="17"/>
      <c r="J25" s="19"/>
      <c r="K25" s="19"/>
      <c r="L25" s="58" t="str">
        <f t="shared" si="1"/>
        <v/>
      </c>
      <c r="M25" s="45"/>
    </row>
    <row r="26" spans="1:13" x14ac:dyDescent="0.2">
      <c r="A26" s="36"/>
      <c r="B26" s="619" t="s">
        <v>304</v>
      </c>
      <c r="C26" s="16"/>
      <c r="D26" s="17"/>
      <c r="E26" s="18"/>
      <c r="F26" s="17"/>
      <c r="G26" s="57" t="str">
        <f t="shared" si="0"/>
        <v/>
      </c>
      <c r="H26" s="17"/>
      <c r="I26" s="17"/>
      <c r="J26" s="19"/>
      <c r="K26" s="19"/>
      <c r="L26" s="58" t="str">
        <f t="shared" si="1"/>
        <v/>
      </c>
      <c r="M26" s="45"/>
    </row>
    <row r="27" spans="1:13" x14ac:dyDescent="0.2">
      <c r="A27" s="36"/>
      <c r="B27" s="619" t="s">
        <v>304</v>
      </c>
      <c r="C27" s="16"/>
      <c r="D27" s="17"/>
      <c r="E27" s="18"/>
      <c r="F27" s="17"/>
      <c r="G27" s="57" t="str">
        <f t="shared" si="0"/>
        <v/>
      </c>
      <c r="H27" s="17"/>
      <c r="I27" s="17"/>
      <c r="J27" s="19"/>
      <c r="K27" s="19"/>
      <c r="L27" s="58" t="str">
        <f t="shared" si="1"/>
        <v/>
      </c>
      <c r="M27" s="45"/>
    </row>
    <row r="28" spans="1:13" x14ac:dyDescent="0.2">
      <c r="A28" s="36"/>
      <c r="B28" s="619" t="s">
        <v>304</v>
      </c>
      <c r="C28" s="16"/>
      <c r="D28" s="17"/>
      <c r="E28" s="18"/>
      <c r="F28" s="17"/>
      <c r="G28" s="57" t="str">
        <f t="shared" si="0"/>
        <v/>
      </c>
      <c r="H28" s="17"/>
      <c r="I28" s="17"/>
      <c r="J28" s="19"/>
      <c r="K28" s="19"/>
      <c r="L28" s="58" t="str">
        <f t="shared" si="1"/>
        <v/>
      </c>
      <c r="M28" s="45"/>
    </row>
    <row r="29" spans="1:13" x14ac:dyDescent="0.2">
      <c r="A29" s="36"/>
      <c r="B29" s="619" t="s">
        <v>304</v>
      </c>
      <c r="C29" s="16"/>
      <c r="D29" s="17"/>
      <c r="E29" s="18"/>
      <c r="F29" s="17"/>
      <c r="G29" s="57" t="str">
        <f t="shared" si="0"/>
        <v/>
      </c>
      <c r="H29" s="17"/>
      <c r="I29" s="17"/>
      <c r="J29" s="19"/>
      <c r="K29" s="19"/>
      <c r="L29" s="58" t="str">
        <f t="shared" si="1"/>
        <v/>
      </c>
      <c r="M29" s="45"/>
    </row>
    <row r="30" spans="1:13" x14ac:dyDescent="0.2">
      <c r="A30" s="36"/>
      <c r="B30" s="619" t="s">
        <v>304</v>
      </c>
      <c r="C30" s="16"/>
      <c r="D30" s="17"/>
      <c r="E30" s="18"/>
      <c r="F30" s="17"/>
      <c r="G30" s="57" t="str">
        <f t="shared" si="0"/>
        <v/>
      </c>
      <c r="H30" s="17"/>
      <c r="I30" s="17"/>
      <c r="J30" s="19"/>
      <c r="K30" s="19"/>
      <c r="L30" s="58" t="str">
        <f t="shared" si="1"/>
        <v/>
      </c>
      <c r="M30" s="45"/>
    </row>
    <row r="31" spans="1:13" x14ac:dyDescent="0.2">
      <c r="A31" s="36"/>
      <c r="B31" s="619" t="s">
        <v>304</v>
      </c>
      <c r="C31" s="16"/>
      <c r="D31" s="17"/>
      <c r="E31" s="18"/>
      <c r="F31" s="17"/>
      <c r="G31" s="57" t="str">
        <f t="shared" si="0"/>
        <v/>
      </c>
      <c r="H31" s="17"/>
      <c r="I31" s="17"/>
      <c r="J31" s="19"/>
      <c r="K31" s="19"/>
      <c r="L31" s="58" t="str">
        <f t="shared" si="1"/>
        <v/>
      </c>
      <c r="M31" s="45"/>
    </row>
    <row r="32" spans="1:13" x14ac:dyDescent="0.2">
      <c r="A32" s="36"/>
      <c r="B32" s="619" t="s">
        <v>304</v>
      </c>
      <c r="C32" s="16"/>
      <c r="D32" s="17"/>
      <c r="E32" s="18"/>
      <c r="F32" s="17"/>
      <c r="G32" s="57" t="str">
        <f t="shared" si="0"/>
        <v/>
      </c>
      <c r="H32" s="17"/>
      <c r="I32" s="17"/>
      <c r="J32" s="19"/>
      <c r="K32" s="19"/>
      <c r="L32" s="58" t="str">
        <f t="shared" si="1"/>
        <v/>
      </c>
      <c r="M32" s="45"/>
    </row>
    <row r="33" spans="1:13" x14ac:dyDescent="0.2">
      <c r="A33" s="36"/>
      <c r="B33" s="619" t="s">
        <v>304</v>
      </c>
      <c r="C33" s="16"/>
      <c r="D33" s="17"/>
      <c r="E33" s="18"/>
      <c r="F33" s="17"/>
      <c r="G33" s="57" t="str">
        <f t="shared" si="0"/>
        <v/>
      </c>
      <c r="H33" s="17"/>
      <c r="I33" s="17"/>
      <c r="J33" s="19"/>
      <c r="K33" s="19"/>
      <c r="L33" s="58" t="str">
        <f t="shared" si="1"/>
        <v/>
      </c>
      <c r="M33" s="45"/>
    </row>
    <row r="34" spans="1:13" x14ac:dyDescent="0.2">
      <c r="A34" s="36"/>
      <c r="B34" s="619" t="s">
        <v>304</v>
      </c>
      <c r="C34" s="16"/>
      <c r="D34" s="17"/>
      <c r="E34" s="18"/>
      <c r="F34" s="17"/>
      <c r="G34" s="57" t="str">
        <f t="shared" si="0"/>
        <v/>
      </c>
      <c r="H34" s="17"/>
      <c r="I34" s="17"/>
      <c r="J34" s="19"/>
      <c r="K34" s="19"/>
      <c r="L34" s="58" t="str">
        <f t="shared" si="1"/>
        <v/>
      </c>
      <c r="M34" s="45"/>
    </row>
    <row r="35" spans="1:13" s="536" customFormat="1" x14ac:dyDescent="0.2">
      <c r="A35" s="532"/>
      <c r="B35" s="537"/>
      <c r="C35" s="537" t="s">
        <v>655</v>
      </c>
      <c r="D35" s="700">
        <f>SUM(D15:D34)</f>
        <v>52503</v>
      </c>
      <c r="E35" s="538"/>
      <c r="F35" s="538"/>
      <c r="G35" s="538"/>
      <c r="H35" s="538"/>
      <c r="I35" s="576">
        <f>SUM(I15:I34)</f>
        <v>0</v>
      </c>
      <c r="J35" s="576">
        <f>SUM(J15:J34)</f>
        <v>11388948880</v>
      </c>
      <c r="K35" s="576">
        <f>SUM(K15:K34)</f>
        <v>0</v>
      </c>
      <c r="L35" s="576">
        <f>SUM(L15:L34)</f>
        <v>49919648.379487999</v>
      </c>
      <c r="M35" s="534"/>
    </row>
    <row r="36" spans="1:13" x14ac:dyDescent="0.2">
      <c r="A36" s="36"/>
      <c r="B36" s="619" t="s">
        <v>306</v>
      </c>
      <c r="C36" s="16"/>
      <c r="D36" s="17">
        <v>175</v>
      </c>
      <c r="E36" s="18">
        <v>0.29182000000000002</v>
      </c>
      <c r="F36" s="17"/>
      <c r="G36" s="57" t="str">
        <f t="shared" si="0"/>
        <v/>
      </c>
      <c r="H36" s="17"/>
      <c r="I36" s="17"/>
      <c r="J36" s="713">
        <v>2164700</v>
      </c>
      <c r="K36" s="19"/>
      <c r="L36" s="58">
        <f t="shared" si="1"/>
        <v>6317.02754</v>
      </c>
      <c r="M36" s="45"/>
    </row>
    <row r="37" spans="1:13" x14ac:dyDescent="0.2">
      <c r="A37" s="36"/>
      <c r="B37" s="619" t="s">
        <v>306</v>
      </c>
      <c r="C37" s="16" t="s">
        <v>936</v>
      </c>
      <c r="D37" s="17">
        <v>1566</v>
      </c>
      <c r="E37" s="18">
        <v>0.30824000000000001</v>
      </c>
      <c r="F37" s="17">
        <v>485</v>
      </c>
      <c r="G37" s="57">
        <f t="shared" si="0"/>
        <v>0.29162777693234132</v>
      </c>
      <c r="H37" s="17"/>
      <c r="I37" s="17"/>
      <c r="J37" s="713">
        <v>598517890</v>
      </c>
      <c r="K37" s="19"/>
      <c r="L37" s="58">
        <f t="shared" si="1"/>
        <v>2604381.5441359999</v>
      </c>
      <c r="M37" s="45"/>
    </row>
    <row r="38" spans="1:13" x14ac:dyDescent="0.2">
      <c r="A38" s="36"/>
      <c r="B38" s="619" t="s">
        <v>306</v>
      </c>
      <c r="C38" s="16" t="s">
        <v>937</v>
      </c>
      <c r="D38" s="17">
        <v>356</v>
      </c>
      <c r="E38" s="18">
        <v>0.99946000000000002</v>
      </c>
      <c r="F38" s="17">
        <v>485</v>
      </c>
      <c r="G38" s="57">
        <f t="shared" si="0"/>
        <v>9.6954729853961433E-2</v>
      </c>
      <c r="H38" s="17"/>
      <c r="I38" s="17"/>
      <c r="J38" s="713">
        <v>160904000</v>
      </c>
      <c r="K38" s="19"/>
      <c r="L38" s="58">
        <f t="shared" si="1"/>
        <v>1780831.1183999998</v>
      </c>
      <c r="M38" s="45"/>
    </row>
    <row r="39" spans="1:13" x14ac:dyDescent="0.2">
      <c r="A39" s="36"/>
      <c r="B39" s="619" t="s">
        <v>306</v>
      </c>
      <c r="C39" s="16" t="s">
        <v>938</v>
      </c>
      <c r="D39" s="17">
        <v>128</v>
      </c>
      <c r="E39" s="18">
        <v>0.46261999999999998</v>
      </c>
      <c r="F39" s="17">
        <v>485</v>
      </c>
      <c r="G39" s="57">
        <f t="shared" si="0"/>
        <v>0.16218791882889369</v>
      </c>
      <c r="H39" s="17"/>
      <c r="I39" s="17"/>
      <c r="J39" s="713">
        <v>69319500</v>
      </c>
      <c r="K39" s="19"/>
      <c r="L39" s="58">
        <f t="shared" si="1"/>
        <v>382765.87089999998</v>
      </c>
      <c r="M39" s="45"/>
    </row>
    <row r="40" spans="1:13" x14ac:dyDescent="0.2">
      <c r="A40" s="36"/>
      <c r="B40" s="619" t="s">
        <v>306</v>
      </c>
      <c r="C40" s="16" t="s">
        <v>939</v>
      </c>
      <c r="D40" s="17">
        <v>95</v>
      </c>
      <c r="E40" s="18">
        <v>3.1879999999999999E-2</v>
      </c>
      <c r="F40" s="17"/>
      <c r="G40" s="57" t="str">
        <f t="shared" si="0"/>
        <v/>
      </c>
      <c r="H40" s="17"/>
      <c r="I40" s="17"/>
      <c r="J40" s="713">
        <v>36346135</v>
      </c>
      <c r="K40" s="19"/>
      <c r="L40" s="58">
        <f t="shared" si="1"/>
        <v>11587.147838000001</v>
      </c>
      <c r="M40" s="45"/>
    </row>
    <row r="41" spans="1:13" x14ac:dyDescent="0.2">
      <c r="A41" s="36"/>
      <c r="B41" s="619" t="s">
        <v>306</v>
      </c>
      <c r="C41" s="16"/>
      <c r="D41" s="17"/>
      <c r="E41" s="18"/>
      <c r="F41" s="17"/>
      <c r="G41" s="57" t="str">
        <f t="shared" si="0"/>
        <v/>
      </c>
      <c r="H41" s="17"/>
      <c r="I41" s="17"/>
      <c r="J41" s="19"/>
      <c r="K41" s="19"/>
      <c r="L41" s="58" t="str">
        <f t="shared" si="1"/>
        <v/>
      </c>
      <c r="M41" s="45"/>
    </row>
    <row r="42" spans="1:13" x14ac:dyDescent="0.2">
      <c r="A42" s="36"/>
      <c r="B42" s="619" t="s">
        <v>306</v>
      </c>
      <c r="C42" s="16"/>
      <c r="D42" s="17"/>
      <c r="E42" s="18"/>
      <c r="F42" s="17"/>
      <c r="G42" s="57" t="str">
        <f t="shared" si="0"/>
        <v/>
      </c>
      <c r="H42" s="17"/>
      <c r="I42" s="17"/>
      <c r="J42" s="19"/>
      <c r="K42" s="19"/>
      <c r="L42" s="58" t="str">
        <f t="shared" si="1"/>
        <v/>
      </c>
      <c r="M42" s="45"/>
    </row>
    <row r="43" spans="1:13" x14ac:dyDescent="0.2">
      <c r="A43" s="36"/>
      <c r="B43" s="619" t="s">
        <v>306</v>
      </c>
      <c r="C43" s="16"/>
      <c r="D43" s="17"/>
      <c r="E43" s="18"/>
      <c r="F43" s="17"/>
      <c r="G43" s="57" t="str">
        <f t="shared" si="0"/>
        <v/>
      </c>
      <c r="H43" s="17"/>
      <c r="I43" s="17"/>
      <c r="J43" s="19"/>
      <c r="K43" s="19"/>
      <c r="L43" s="58" t="str">
        <f t="shared" si="1"/>
        <v/>
      </c>
      <c r="M43" s="45"/>
    </row>
    <row r="44" spans="1:13" x14ac:dyDescent="0.2">
      <c r="A44" s="36"/>
      <c r="B44" s="619" t="s">
        <v>306</v>
      </c>
      <c r="C44" s="16"/>
      <c r="D44" s="17"/>
      <c r="E44" s="18"/>
      <c r="F44" s="17"/>
      <c r="G44" s="57" t="str">
        <f t="shared" si="0"/>
        <v/>
      </c>
      <c r="H44" s="17"/>
      <c r="I44" s="17"/>
      <c r="J44" s="19"/>
      <c r="K44" s="19"/>
      <c r="L44" s="58" t="str">
        <f t="shared" si="1"/>
        <v/>
      </c>
      <c r="M44" s="45"/>
    </row>
    <row r="45" spans="1:13" x14ac:dyDescent="0.2">
      <c r="A45" s="36"/>
      <c r="B45" s="619" t="s">
        <v>306</v>
      </c>
      <c r="C45" s="16"/>
      <c r="D45" s="17"/>
      <c r="E45" s="18"/>
      <c r="F45" s="17"/>
      <c r="G45" s="57" t="str">
        <f t="shared" si="0"/>
        <v/>
      </c>
      <c r="H45" s="17"/>
      <c r="I45" s="17"/>
      <c r="J45" s="19"/>
      <c r="K45" s="19"/>
      <c r="L45" s="58" t="str">
        <f t="shared" si="1"/>
        <v/>
      </c>
      <c r="M45" s="45"/>
    </row>
    <row r="46" spans="1:13" x14ac:dyDescent="0.2">
      <c r="A46" s="36"/>
      <c r="B46" s="619" t="s">
        <v>306</v>
      </c>
      <c r="C46" s="16"/>
      <c r="D46" s="17"/>
      <c r="E46" s="18"/>
      <c r="F46" s="17"/>
      <c r="G46" s="57" t="str">
        <f t="shared" si="0"/>
        <v/>
      </c>
      <c r="H46" s="17"/>
      <c r="I46" s="17"/>
      <c r="J46" s="19"/>
      <c r="K46" s="19"/>
      <c r="L46" s="58" t="str">
        <f t="shared" si="1"/>
        <v/>
      </c>
      <c r="M46" s="45"/>
    </row>
    <row r="47" spans="1:13" x14ac:dyDescent="0.2">
      <c r="A47" s="36"/>
      <c r="B47" s="619" t="s">
        <v>306</v>
      </c>
      <c r="C47" s="16"/>
      <c r="D47" s="17"/>
      <c r="E47" s="18"/>
      <c r="F47" s="17"/>
      <c r="G47" s="57" t="str">
        <f t="shared" si="0"/>
        <v/>
      </c>
      <c r="H47" s="17"/>
      <c r="I47" s="17"/>
      <c r="J47" s="19"/>
      <c r="K47" s="19"/>
      <c r="L47" s="58" t="str">
        <f t="shared" si="1"/>
        <v/>
      </c>
      <c r="M47" s="45"/>
    </row>
    <row r="48" spans="1:13" x14ac:dyDescent="0.2">
      <c r="A48" s="36"/>
      <c r="B48" s="619" t="s">
        <v>306</v>
      </c>
      <c r="C48" s="16"/>
      <c r="D48" s="17"/>
      <c r="E48" s="18"/>
      <c r="F48" s="17"/>
      <c r="G48" s="57" t="str">
        <f t="shared" si="0"/>
        <v/>
      </c>
      <c r="H48" s="17"/>
      <c r="I48" s="17"/>
      <c r="J48" s="19"/>
      <c r="K48" s="19"/>
      <c r="L48" s="58" t="str">
        <f t="shared" si="1"/>
        <v/>
      </c>
      <c r="M48" s="45"/>
    </row>
    <row r="49" spans="1:13" x14ac:dyDescent="0.2">
      <c r="A49" s="36"/>
      <c r="B49" s="619" t="s">
        <v>306</v>
      </c>
      <c r="C49" s="16"/>
      <c r="D49" s="17"/>
      <c r="E49" s="18"/>
      <c r="F49" s="17"/>
      <c r="G49" s="57" t="str">
        <f t="shared" si="0"/>
        <v/>
      </c>
      <c r="H49" s="17"/>
      <c r="I49" s="17"/>
      <c r="J49" s="19"/>
      <c r="K49" s="19"/>
      <c r="L49" s="58" t="str">
        <f t="shared" si="1"/>
        <v/>
      </c>
      <c r="M49" s="45"/>
    </row>
    <row r="50" spans="1:13" x14ac:dyDescent="0.2">
      <c r="A50" s="36"/>
      <c r="B50" s="619" t="s">
        <v>306</v>
      </c>
      <c r="C50" s="16"/>
      <c r="D50" s="17"/>
      <c r="E50" s="18"/>
      <c r="F50" s="17"/>
      <c r="G50" s="57" t="str">
        <f t="shared" si="0"/>
        <v/>
      </c>
      <c r="H50" s="17"/>
      <c r="I50" s="17"/>
      <c r="J50" s="19"/>
      <c r="K50" s="19"/>
      <c r="L50" s="58" t="str">
        <f t="shared" si="1"/>
        <v/>
      </c>
      <c r="M50" s="45"/>
    </row>
    <row r="51" spans="1:13" x14ac:dyDescent="0.2">
      <c r="A51" s="36"/>
      <c r="B51" s="619" t="s">
        <v>306</v>
      </c>
      <c r="C51" s="16"/>
      <c r="D51" s="17"/>
      <c r="E51" s="18"/>
      <c r="F51" s="17"/>
      <c r="G51" s="57" t="str">
        <f t="shared" si="0"/>
        <v/>
      </c>
      <c r="H51" s="17"/>
      <c r="I51" s="17"/>
      <c r="J51" s="19"/>
      <c r="K51" s="19"/>
      <c r="L51" s="58" t="str">
        <f t="shared" si="1"/>
        <v/>
      </c>
      <c r="M51" s="45"/>
    </row>
    <row r="52" spans="1:13" x14ac:dyDescent="0.2">
      <c r="A52" s="36"/>
      <c r="B52" s="619" t="s">
        <v>306</v>
      </c>
      <c r="C52" s="16"/>
      <c r="D52" s="17"/>
      <c r="E52" s="18"/>
      <c r="F52" s="17"/>
      <c r="G52" s="57" t="str">
        <f t="shared" si="0"/>
        <v/>
      </c>
      <c r="H52" s="17"/>
      <c r="I52" s="17"/>
      <c r="J52" s="19"/>
      <c r="K52" s="19"/>
      <c r="L52" s="58" t="str">
        <f t="shared" si="1"/>
        <v/>
      </c>
      <c r="M52" s="45"/>
    </row>
    <row r="53" spans="1:13" x14ac:dyDescent="0.2">
      <c r="A53" s="36"/>
      <c r="B53" s="619" t="s">
        <v>306</v>
      </c>
      <c r="C53" s="16"/>
      <c r="D53" s="17"/>
      <c r="E53" s="18"/>
      <c r="F53" s="17"/>
      <c r="G53" s="57" t="str">
        <f t="shared" si="0"/>
        <v/>
      </c>
      <c r="H53" s="17"/>
      <c r="I53" s="17"/>
      <c r="J53" s="19"/>
      <c r="K53" s="19"/>
      <c r="L53" s="58" t="str">
        <f t="shared" si="1"/>
        <v/>
      </c>
      <c r="M53" s="45"/>
    </row>
    <row r="54" spans="1:13" x14ac:dyDescent="0.2">
      <c r="A54" s="36"/>
      <c r="B54" s="619" t="s">
        <v>306</v>
      </c>
      <c r="C54" s="16"/>
      <c r="D54" s="17"/>
      <c r="E54" s="18"/>
      <c r="F54" s="17"/>
      <c r="G54" s="57" t="str">
        <f t="shared" si="0"/>
        <v/>
      </c>
      <c r="H54" s="17"/>
      <c r="I54" s="17"/>
      <c r="J54" s="19"/>
      <c r="K54" s="19"/>
      <c r="L54" s="58" t="str">
        <f t="shared" si="1"/>
        <v/>
      </c>
      <c r="M54" s="45"/>
    </row>
    <row r="55" spans="1:13" x14ac:dyDescent="0.2">
      <c r="A55" s="36"/>
      <c r="B55" s="619" t="s">
        <v>306</v>
      </c>
      <c r="C55" s="16"/>
      <c r="D55" s="17"/>
      <c r="E55" s="18"/>
      <c r="F55" s="17"/>
      <c r="G55" s="57" t="str">
        <f t="shared" si="0"/>
        <v/>
      </c>
      <c r="H55" s="17"/>
      <c r="I55" s="17"/>
      <c r="J55" s="19"/>
      <c r="K55" s="19"/>
      <c r="L55" s="58" t="str">
        <f t="shared" si="1"/>
        <v/>
      </c>
      <c r="M55" s="45"/>
    </row>
    <row r="56" spans="1:13" x14ac:dyDescent="0.2">
      <c r="A56" s="36"/>
      <c r="B56" s="619" t="s">
        <v>306</v>
      </c>
      <c r="C56" s="16"/>
      <c r="D56" s="17"/>
      <c r="E56" s="18"/>
      <c r="F56" s="17"/>
      <c r="G56" s="57" t="str">
        <f t="shared" si="0"/>
        <v/>
      </c>
      <c r="H56" s="17"/>
      <c r="I56" s="17"/>
      <c r="J56" s="19"/>
      <c r="K56" s="19"/>
      <c r="L56" s="58" t="str">
        <f t="shared" si="1"/>
        <v/>
      </c>
      <c r="M56" s="45"/>
    </row>
    <row r="57" spans="1:13" x14ac:dyDescent="0.2">
      <c r="A57" s="36"/>
      <c r="B57" s="619" t="s">
        <v>306</v>
      </c>
      <c r="C57" s="16"/>
      <c r="D57" s="17"/>
      <c r="E57" s="18"/>
      <c r="F57" s="17"/>
      <c r="G57" s="57" t="str">
        <f t="shared" si="0"/>
        <v/>
      </c>
      <c r="H57" s="17"/>
      <c r="I57" s="17"/>
      <c r="J57" s="19"/>
      <c r="K57" s="19"/>
      <c r="L57" s="58" t="str">
        <f t="shared" si="1"/>
        <v/>
      </c>
      <c r="M57" s="45"/>
    </row>
    <row r="58" spans="1:13" x14ac:dyDescent="0.2">
      <c r="A58" s="36"/>
      <c r="B58" s="619" t="s">
        <v>306</v>
      </c>
      <c r="C58" s="16"/>
      <c r="D58" s="17"/>
      <c r="E58" s="18"/>
      <c r="F58" s="17"/>
      <c r="G58" s="57" t="str">
        <f t="shared" si="0"/>
        <v/>
      </c>
      <c r="H58" s="17"/>
      <c r="I58" s="17"/>
      <c r="J58" s="19"/>
      <c r="K58" s="19"/>
      <c r="L58" s="58" t="str">
        <f t="shared" si="1"/>
        <v/>
      </c>
      <c r="M58" s="45"/>
    </row>
    <row r="59" spans="1:13" x14ac:dyDescent="0.2">
      <c r="A59" s="36"/>
      <c r="B59" s="619" t="s">
        <v>306</v>
      </c>
      <c r="C59" s="16"/>
      <c r="D59" s="17"/>
      <c r="E59" s="18"/>
      <c r="F59" s="17"/>
      <c r="G59" s="57" t="str">
        <f t="shared" si="0"/>
        <v/>
      </c>
      <c r="H59" s="17"/>
      <c r="I59" s="17"/>
      <c r="J59" s="19"/>
      <c r="K59" s="19"/>
      <c r="L59" s="58" t="str">
        <f t="shared" si="1"/>
        <v/>
      </c>
      <c r="M59" s="45"/>
    </row>
    <row r="60" spans="1:13" x14ac:dyDescent="0.2">
      <c r="A60" s="36"/>
      <c r="B60" s="619" t="s">
        <v>306</v>
      </c>
      <c r="C60" s="16"/>
      <c r="D60" s="17"/>
      <c r="E60" s="18"/>
      <c r="F60" s="17"/>
      <c r="G60" s="57" t="str">
        <f t="shared" si="0"/>
        <v/>
      </c>
      <c r="H60" s="17"/>
      <c r="I60" s="17"/>
      <c r="J60" s="19"/>
      <c r="K60" s="19"/>
      <c r="L60" s="58" t="str">
        <f t="shared" si="1"/>
        <v/>
      </c>
      <c r="M60" s="45"/>
    </row>
    <row r="61" spans="1:13" s="536" customFormat="1" x14ac:dyDescent="0.2">
      <c r="A61" s="532"/>
      <c r="B61" s="619"/>
      <c r="C61" s="537" t="s">
        <v>654</v>
      </c>
      <c r="D61" s="538">
        <f>SUM(D36:D60)</f>
        <v>2320</v>
      </c>
      <c r="E61" s="538"/>
      <c r="F61" s="538"/>
      <c r="G61" s="538"/>
      <c r="H61" s="538"/>
      <c r="I61" s="576">
        <f>SUM(I36:I60)</f>
        <v>0</v>
      </c>
      <c r="J61" s="576">
        <f>SUM(J36:J60)</f>
        <v>867252225</v>
      </c>
      <c r="K61" s="576">
        <f>SUM(K36:K60)</f>
        <v>0</v>
      </c>
      <c r="L61" s="576">
        <f>SUM(L36:L60)</f>
        <v>4785882.7088140007</v>
      </c>
      <c r="M61" s="534"/>
    </row>
    <row r="62" spans="1:13" x14ac:dyDescent="0.2">
      <c r="A62" s="36"/>
      <c r="B62" s="619" t="s">
        <v>302</v>
      </c>
      <c r="C62" s="16"/>
      <c r="D62" s="17">
        <v>847</v>
      </c>
      <c r="E62" s="18">
        <v>0.17297000000000001</v>
      </c>
      <c r="F62" s="17">
        <v>485</v>
      </c>
      <c r="G62" s="57">
        <f t="shared" si="0"/>
        <v>0.24529669054528441</v>
      </c>
      <c r="H62" s="17"/>
      <c r="I62" s="17"/>
      <c r="J62" s="713">
        <v>730699700</v>
      </c>
      <c r="K62" s="19"/>
      <c r="L62" s="58">
        <f t="shared" si="1"/>
        <v>1674686.2710899999</v>
      </c>
      <c r="M62" s="45"/>
    </row>
    <row r="63" spans="1:13" x14ac:dyDescent="0.2">
      <c r="A63" s="36"/>
      <c r="B63" s="619" t="s">
        <v>302</v>
      </c>
      <c r="C63" s="16" t="s">
        <v>940</v>
      </c>
      <c r="D63" s="17">
        <v>126</v>
      </c>
      <c r="E63" s="18">
        <v>9.1410000000000005E-2</v>
      </c>
      <c r="F63" s="17">
        <v>485</v>
      </c>
      <c r="G63" s="57">
        <f t="shared" si="0"/>
        <v>0.32163943761453284</v>
      </c>
      <c r="H63" s="17"/>
      <c r="I63" s="17"/>
      <c r="J63" s="713">
        <v>140997000</v>
      </c>
      <c r="K63" s="19"/>
      <c r="L63" s="58">
        <f t="shared" si="1"/>
        <v>189995.35769999999</v>
      </c>
      <c r="M63" s="45"/>
    </row>
    <row r="64" spans="1:13" x14ac:dyDescent="0.2">
      <c r="A64" s="36"/>
      <c r="B64" s="619" t="s">
        <v>302</v>
      </c>
      <c r="C64" s="16"/>
      <c r="D64" s="17"/>
      <c r="E64" s="18"/>
      <c r="F64" s="17"/>
      <c r="G64" s="57" t="str">
        <f t="shared" si="0"/>
        <v/>
      </c>
      <c r="H64" s="17"/>
      <c r="I64" s="17"/>
      <c r="J64" s="19"/>
      <c r="K64" s="19"/>
      <c r="L64" s="58" t="str">
        <f t="shared" si="1"/>
        <v/>
      </c>
      <c r="M64" s="45"/>
    </row>
    <row r="65" spans="1:13" x14ac:dyDescent="0.2">
      <c r="A65" s="36"/>
      <c r="B65" s="619" t="s">
        <v>302</v>
      </c>
      <c r="C65" s="16"/>
      <c r="D65" s="17"/>
      <c r="E65" s="18"/>
      <c r="F65" s="17"/>
      <c r="G65" s="57" t="str">
        <f t="shared" si="0"/>
        <v/>
      </c>
      <c r="H65" s="17"/>
      <c r="I65" s="17"/>
      <c r="J65" s="19"/>
      <c r="K65" s="19"/>
      <c r="L65" s="58" t="str">
        <f t="shared" si="1"/>
        <v/>
      </c>
      <c r="M65" s="45"/>
    </row>
    <row r="66" spans="1:13" x14ac:dyDescent="0.2">
      <c r="A66" s="36"/>
      <c r="B66" s="619" t="s">
        <v>302</v>
      </c>
      <c r="C66" s="16"/>
      <c r="D66" s="17"/>
      <c r="E66" s="18"/>
      <c r="F66" s="17"/>
      <c r="G66" s="57" t="str">
        <f t="shared" si="0"/>
        <v/>
      </c>
      <c r="H66" s="17"/>
      <c r="I66" s="17"/>
      <c r="J66" s="19"/>
      <c r="K66" s="19"/>
      <c r="L66" s="58" t="str">
        <f t="shared" si="1"/>
        <v/>
      </c>
      <c r="M66" s="45"/>
    </row>
    <row r="67" spans="1:13" x14ac:dyDescent="0.2">
      <c r="A67" s="36"/>
      <c r="B67" s="619" t="s">
        <v>302</v>
      </c>
      <c r="C67" s="16"/>
      <c r="D67" s="17"/>
      <c r="E67" s="18"/>
      <c r="F67" s="17"/>
      <c r="G67" s="57" t="str">
        <f t="shared" si="0"/>
        <v/>
      </c>
      <c r="H67" s="17"/>
      <c r="I67" s="17"/>
      <c r="J67" s="19"/>
      <c r="K67" s="19"/>
      <c r="L67" s="58" t="str">
        <f t="shared" si="1"/>
        <v/>
      </c>
      <c r="M67" s="45"/>
    </row>
    <row r="68" spans="1:13" x14ac:dyDescent="0.2">
      <c r="A68" s="36"/>
      <c r="B68" s="619" t="s">
        <v>302</v>
      </c>
      <c r="C68" s="16"/>
      <c r="D68" s="17"/>
      <c r="E68" s="18"/>
      <c r="F68" s="17"/>
      <c r="G68" s="57" t="str">
        <f t="shared" si="0"/>
        <v/>
      </c>
      <c r="H68" s="17"/>
      <c r="I68" s="17"/>
      <c r="J68" s="19"/>
      <c r="K68" s="19"/>
      <c r="L68" s="58" t="str">
        <f t="shared" si="1"/>
        <v/>
      </c>
      <c r="M68" s="45"/>
    </row>
    <row r="69" spans="1:13" x14ac:dyDescent="0.2">
      <c r="A69" s="36"/>
      <c r="B69" s="619" t="s">
        <v>302</v>
      </c>
      <c r="C69" s="16"/>
      <c r="D69" s="17"/>
      <c r="E69" s="18"/>
      <c r="F69" s="17"/>
      <c r="G69" s="57" t="str">
        <f t="shared" si="0"/>
        <v/>
      </c>
      <c r="H69" s="17"/>
      <c r="I69" s="17"/>
      <c r="J69" s="19"/>
      <c r="K69" s="19"/>
      <c r="L69" s="58" t="str">
        <f t="shared" si="1"/>
        <v/>
      </c>
      <c r="M69" s="45"/>
    </row>
    <row r="70" spans="1:13" x14ac:dyDescent="0.2">
      <c r="A70" s="36"/>
      <c r="B70" s="619" t="s">
        <v>302</v>
      </c>
      <c r="C70" s="16"/>
      <c r="D70" s="17"/>
      <c r="E70" s="18"/>
      <c r="F70" s="17"/>
      <c r="G70" s="57" t="str">
        <f t="shared" si="0"/>
        <v/>
      </c>
      <c r="H70" s="17"/>
      <c r="I70" s="17"/>
      <c r="J70" s="19"/>
      <c r="K70" s="19"/>
      <c r="L70" s="58" t="str">
        <f t="shared" si="1"/>
        <v/>
      </c>
      <c r="M70" s="45"/>
    </row>
    <row r="71" spans="1:13" x14ac:dyDescent="0.2">
      <c r="A71" s="36"/>
      <c r="B71" s="619" t="s">
        <v>302</v>
      </c>
      <c r="C71" s="16"/>
      <c r="D71" s="17"/>
      <c r="E71" s="18"/>
      <c r="F71" s="17"/>
      <c r="G71" s="57" t="str">
        <f t="shared" si="0"/>
        <v/>
      </c>
      <c r="H71" s="17"/>
      <c r="I71" s="17"/>
      <c r="J71" s="19"/>
      <c r="K71" s="19"/>
      <c r="L71" s="58" t="str">
        <f t="shared" si="1"/>
        <v/>
      </c>
      <c r="M71" s="45"/>
    </row>
    <row r="72" spans="1:13" s="536" customFormat="1" x14ac:dyDescent="0.2">
      <c r="A72" s="532"/>
      <c r="B72" s="537"/>
      <c r="C72" s="537" t="s">
        <v>656</v>
      </c>
      <c r="D72" s="538">
        <f>SUM(D62:D71)</f>
        <v>973</v>
      </c>
      <c r="E72" s="538"/>
      <c r="F72" s="538"/>
      <c r="G72" s="538"/>
      <c r="H72" s="538"/>
      <c r="I72" s="576">
        <f>SUM(I62:I71)</f>
        <v>0</v>
      </c>
      <c r="J72" s="576">
        <f>SUM(J62:J71)</f>
        <v>871696700</v>
      </c>
      <c r="K72" s="576">
        <f>SUM(K62:K71)</f>
        <v>0</v>
      </c>
      <c r="L72" s="576">
        <f>SUM(L62:L71)</f>
        <v>1864681.62879</v>
      </c>
      <c r="M72" s="534"/>
    </row>
    <row r="73" spans="1:13" x14ac:dyDescent="0.2">
      <c r="A73" s="36"/>
      <c r="B73" s="619" t="s">
        <v>305</v>
      </c>
      <c r="C73" s="16"/>
      <c r="D73" s="17"/>
      <c r="E73" s="18"/>
      <c r="F73" s="17"/>
      <c r="G73" s="57" t="str">
        <f t="shared" si="0"/>
        <v/>
      </c>
      <c r="H73" s="17"/>
      <c r="I73" s="17"/>
      <c r="J73" s="19"/>
      <c r="K73" s="19"/>
      <c r="L73" s="58" t="str">
        <f t="shared" si="1"/>
        <v/>
      </c>
      <c r="M73" s="45"/>
    </row>
    <row r="74" spans="1:13" x14ac:dyDescent="0.2">
      <c r="A74" s="36"/>
      <c r="B74" s="619" t="s">
        <v>305</v>
      </c>
      <c r="C74" s="16"/>
      <c r="D74" s="17"/>
      <c r="E74" s="18"/>
      <c r="F74" s="17"/>
      <c r="G74" s="57" t="str">
        <f t="shared" si="0"/>
        <v/>
      </c>
      <c r="H74" s="17"/>
      <c r="I74" s="17"/>
      <c r="J74" s="19"/>
      <c r="K74" s="19"/>
      <c r="L74" s="58" t="str">
        <f t="shared" si="1"/>
        <v/>
      </c>
      <c r="M74" s="45"/>
    </row>
    <row r="75" spans="1:13" x14ac:dyDescent="0.2">
      <c r="A75" s="36"/>
      <c r="B75" s="619" t="s">
        <v>305</v>
      </c>
      <c r="C75" s="16"/>
      <c r="D75" s="17"/>
      <c r="E75" s="18"/>
      <c r="F75" s="17"/>
      <c r="G75" s="57" t="str">
        <f t="shared" si="0"/>
        <v/>
      </c>
      <c r="H75" s="17"/>
      <c r="I75" s="17"/>
      <c r="J75" s="19"/>
      <c r="K75" s="19"/>
      <c r="L75" s="58" t="str">
        <f t="shared" si="1"/>
        <v/>
      </c>
      <c r="M75" s="45"/>
    </row>
    <row r="76" spans="1:13" x14ac:dyDescent="0.2">
      <c r="A76" s="36"/>
      <c r="B76" s="619" t="s">
        <v>305</v>
      </c>
      <c r="C76" s="16"/>
      <c r="D76" s="17"/>
      <c r="E76" s="18"/>
      <c r="F76" s="17"/>
      <c r="G76" s="57" t="str">
        <f t="shared" si="0"/>
        <v/>
      </c>
      <c r="H76" s="17"/>
      <c r="I76" s="17"/>
      <c r="J76" s="19"/>
      <c r="K76" s="19"/>
      <c r="L76" s="58" t="str">
        <f t="shared" si="1"/>
        <v/>
      </c>
      <c r="M76" s="45"/>
    </row>
    <row r="77" spans="1:13" x14ac:dyDescent="0.2">
      <c r="A77" s="36"/>
      <c r="B77" s="619" t="s">
        <v>305</v>
      </c>
      <c r="C77" s="16"/>
      <c r="D77" s="17"/>
      <c r="E77" s="18"/>
      <c r="F77" s="17"/>
      <c r="G77" s="57" t="str">
        <f t="shared" si="0"/>
        <v/>
      </c>
      <c r="H77" s="17"/>
      <c r="I77" s="17"/>
      <c r="J77" s="19"/>
      <c r="K77" s="19"/>
      <c r="L77" s="58" t="str">
        <f t="shared" si="1"/>
        <v/>
      </c>
      <c r="M77" s="45"/>
    </row>
    <row r="78" spans="1:13" x14ac:dyDescent="0.2">
      <c r="A78" s="36"/>
      <c r="B78" s="619" t="s">
        <v>305</v>
      </c>
      <c r="C78" s="16"/>
      <c r="D78" s="17"/>
      <c r="E78" s="18"/>
      <c r="F78" s="17"/>
      <c r="G78" s="57" t="str">
        <f t="shared" si="0"/>
        <v/>
      </c>
      <c r="H78" s="17"/>
      <c r="I78" s="17"/>
      <c r="J78" s="19"/>
      <c r="K78" s="19"/>
      <c r="L78" s="58" t="str">
        <f t="shared" si="1"/>
        <v/>
      </c>
      <c r="M78" s="45"/>
    </row>
    <row r="79" spans="1:13" x14ac:dyDescent="0.2">
      <c r="A79" s="36"/>
      <c r="B79" s="619" t="s">
        <v>305</v>
      </c>
      <c r="C79" s="16"/>
      <c r="D79" s="17"/>
      <c r="E79" s="18"/>
      <c r="F79" s="17"/>
      <c r="G79" s="57" t="str">
        <f t="shared" si="0"/>
        <v/>
      </c>
      <c r="H79" s="17"/>
      <c r="I79" s="17"/>
      <c r="J79" s="19"/>
      <c r="K79" s="19"/>
      <c r="L79" s="58" t="str">
        <f t="shared" si="1"/>
        <v/>
      </c>
      <c r="M79" s="45"/>
    </row>
    <row r="80" spans="1:13" x14ac:dyDescent="0.2">
      <c r="A80" s="36"/>
      <c r="B80" s="619" t="s">
        <v>305</v>
      </c>
      <c r="C80" s="16"/>
      <c r="D80" s="17"/>
      <c r="E80" s="18"/>
      <c r="F80" s="17"/>
      <c r="G80" s="57" t="str">
        <f t="shared" si="0"/>
        <v/>
      </c>
      <c r="H80" s="17"/>
      <c r="I80" s="17"/>
      <c r="J80" s="19"/>
      <c r="K80" s="19"/>
      <c r="L80" s="58" t="str">
        <f t="shared" si="1"/>
        <v/>
      </c>
      <c r="M80" s="45"/>
    </row>
    <row r="81" spans="1:13" x14ac:dyDescent="0.2">
      <c r="A81" s="36"/>
      <c r="B81" s="619" t="s">
        <v>305</v>
      </c>
      <c r="C81" s="16"/>
      <c r="D81" s="17"/>
      <c r="E81" s="18"/>
      <c r="F81" s="17"/>
      <c r="G81" s="57" t="str">
        <f t="shared" si="0"/>
        <v/>
      </c>
      <c r="H81" s="17"/>
      <c r="I81" s="17"/>
      <c r="J81" s="19"/>
      <c r="K81" s="19"/>
      <c r="L81" s="58" t="str">
        <f t="shared" si="1"/>
        <v/>
      </c>
      <c r="M81" s="45"/>
    </row>
    <row r="82" spans="1:13" x14ac:dyDescent="0.2">
      <c r="A82" s="36"/>
      <c r="B82" s="619" t="s">
        <v>305</v>
      </c>
      <c r="C82" s="16"/>
      <c r="D82" s="17"/>
      <c r="E82" s="18"/>
      <c r="F82" s="17"/>
      <c r="G82" s="57" t="str">
        <f t="shared" si="0"/>
        <v/>
      </c>
      <c r="H82" s="17"/>
      <c r="I82" s="17"/>
      <c r="J82" s="19"/>
      <c r="K82" s="19"/>
      <c r="L82" s="58" t="str">
        <f t="shared" si="1"/>
        <v/>
      </c>
      <c r="M82" s="45"/>
    </row>
    <row r="83" spans="1:13" s="536" customFormat="1" x14ac:dyDescent="0.2">
      <c r="A83" s="532"/>
      <c r="B83" s="537"/>
      <c r="C83" s="537" t="s">
        <v>657</v>
      </c>
      <c r="D83" s="538">
        <f>SUM(D73:D82)</f>
        <v>0</v>
      </c>
      <c r="E83" s="538"/>
      <c r="F83" s="538"/>
      <c r="G83" s="538"/>
      <c r="H83" s="538"/>
      <c r="I83" s="576">
        <f>SUM(I73:I82)</f>
        <v>0</v>
      </c>
      <c r="J83" s="576">
        <f>SUM(J73:J82)</f>
        <v>0</v>
      </c>
      <c r="K83" s="576">
        <f>SUM(K73:K82)</f>
        <v>0</v>
      </c>
      <c r="L83" s="576">
        <f>SUM(L73:L82)</f>
        <v>0</v>
      </c>
      <c r="M83" s="534"/>
    </row>
    <row r="84" spans="1:13" x14ac:dyDescent="0.2">
      <c r="A84" s="36"/>
      <c r="B84" s="15"/>
      <c r="C84" s="16"/>
      <c r="D84" s="17"/>
      <c r="E84" s="18"/>
      <c r="F84" s="17"/>
      <c r="G84" s="57" t="str">
        <f>IF(F84="","",D84*F84/L84)</f>
        <v/>
      </c>
      <c r="H84" s="17"/>
      <c r="I84" s="17"/>
      <c r="J84" s="19"/>
      <c r="K84" s="19"/>
      <c r="L84" s="58" t="str">
        <f>IF(D84="","",IF(F84&lt;&gt;"",F84*D84+J84*(E84/100),(J84-K84)*(E84/100)+H84*I84))</f>
        <v/>
      </c>
      <c r="M84" s="45"/>
    </row>
    <row r="85" spans="1:13" x14ac:dyDescent="0.2">
      <c r="A85" s="36"/>
      <c r="B85" s="59" t="s">
        <v>307</v>
      </c>
      <c r="C85" s="60"/>
      <c r="D85" s="376">
        <f>D35+D61+D72+D83</f>
        <v>55796</v>
      </c>
      <c r="E85" s="38"/>
      <c r="F85" s="40"/>
      <c r="G85" s="40" t="s">
        <v>308</v>
      </c>
      <c r="H85" s="38"/>
      <c r="I85" s="38"/>
      <c r="J85" s="701">
        <f>J35+J61+J72+J83</f>
        <v>13127897805</v>
      </c>
      <c r="K85" s="62" t="s">
        <v>309</v>
      </c>
      <c r="L85" s="701">
        <f>L35+L61+L72+L83</f>
        <v>56570212.717092</v>
      </c>
      <c r="M85" s="45"/>
    </row>
    <row r="86" spans="1:13" x14ac:dyDescent="0.2">
      <c r="A86" s="63"/>
      <c r="B86" s="64"/>
      <c r="C86" s="64"/>
      <c r="D86" s="65"/>
      <c r="E86" s="65"/>
      <c r="F86" s="66"/>
      <c r="G86" s="65"/>
      <c r="H86" s="65"/>
      <c r="I86" s="65"/>
      <c r="J86" s="65"/>
      <c r="K86" s="67"/>
      <c r="L86" s="68"/>
      <c r="M86" s="69"/>
    </row>
    <row r="87" spans="1:13" ht="18" x14ac:dyDescent="0.25">
      <c r="A87" s="30"/>
      <c r="B87" s="70"/>
      <c r="C87" s="70"/>
      <c r="D87" s="32"/>
      <c r="E87" s="32"/>
      <c r="F87" s="32"/>
      <c r="G87" s="32"/>
      <c r="H87" s="32"/>
      <c r="I87" s="32"/>
      <c r="J87" s="32"/>
      <c r="K87" s="33"/>
      <c r="L87" s="33"/>
      <c r="M87" s="71"/>
    </row>
    <row r="88" spans="1:13" ht="15.75" x14ac:dyDescent="0.25">
      <c r="A88" s="36"/>
      <c r="B88" s="767" t="str">
        <f>B2</f>
        <v>Shoalhaven City Council</v>
      </c>
      <c r="C88" s="768"/>
      <c r="D88" s="768"/>
      <c r="E88" s="768"/>
      <c r="F88" s="769"/>
      <c r="G88" s="42"/>
      <c r="H88" s="42"/>
      <c r="I88" s="42"/>
      <c r="J88" s="38"/>
      <c r="K88" s="39"/>
      <c r="L88" s="40"/>
      <c r="M88" s="48"/>
    </row>
    <row r="89" spans="1:13" ht="23.25" x14ac:dyDescent="0.35">
      <c r="A89" s="36"/>
      <c r="B89" s="72"/>
      <c r="C89" s="774" t="s">
        <v>82</v>
      </c>
      <c r="D89" s="774"/>
      <c r="E89" s="774"/>
      <c r="F89" s="774"/>
      <c r="G89" s="774"/>
      <c r="H89" s="774"/>
      <c r="I89" s="774"/>
      <c r="J89" s="774"/>
      <c r="K89" s="774"/>
      <c r="L89" s="76"/>
      <c r="M89" s="46"/>
    </row>
    <row r="90" spans="1:13" ht="15.75" x14ac:dyDescent="0.25">
      <c r="A90" s="36"/>
      <c r="B90" s="73"/>
      <c r="C90" s="73"/>
      <c r="D90" s="74"/>
      <c r="E90" s="74"/>
      <c r="F90" s="74"/>
      <c r="G90" s="74"/>
      <c r="H90" s="74"/>
      <c r="I90" s="74"/>
      <c r="J90" s="75"/>
      <c r="K90" s="76"/>
      <c r="L90" s="76"/>
      <c r="M90" s="46"/>
    </row>
    <row r="91" spans="1:13" x14ac:dyDescent="0.2">
      <c r="A91" s="36"/>
      <c r="B91" s="47"/>
      <c r="C91" s="47"/>
      <c r="D91" s="42"/>
      <c r="E91" s="42"/>
      <c r="F91" s="42"/>
      <c r="G91" s="42"/>
      <c r="H91" s="42"/>
      <c r="I91" s="42"/>
      <c r="J91" s="38"/>
      <c r="K91" s="39"/>
      <c r="L91" s="39"/>
      <c r="M91" s="48"/>
    </row>
    <row r="92" spans="1:13" ht="38.25" x14ac:dyDescent="0.2">
      <c r="A92" s="51"/>
      <c r="B92" s="52" t="s">
        <v>284</v>
      </c>
      <c r="C92" s="54" t="s">
        <v>636</v>
      </c>
      <c r="D92" s="77" t="s">
        <v>339</v>
      </c>
      <c r="E92" s="77" t="s">
        <v>287</v>
      </c>
      <c r="F92" s="77" t="s">
        <v>80</v>
      </c>
      <c r="G92" s="77" t="s">
        <v>288</v>
      </c>
      <c r="H92" s="77" t="s">
        <v>81</v>
      </c>
      <c r="I92" s="77" t="s">
        <v>289</v>
      </c>
      <c r="J92" s="54" t="s">
        <v>290</v>
      </c>
      <c r="K92" s="55" t="s">
        <v>291</v>
      </c>
      <c r="L92" s="430" t="s">
        <v>463</v>
      </c>
      <c r="M92" s="56"/>
    </row>
    <row r="93" spans="1:13" s="176" customFormat="1" x14ac:dyDescent="0.2">
      <c r="A93" s="169"/>
      <c r="B93" s="619" t="s">
        <v>304</v>
      </c>
      <c r="C93" s="15" t="s">
        <v>941</v>
      </c>
      <c r="D93" s="17">
        <v>119</v>
      </c>
      <c r="E93" s="170">
        <v>0.26014999999999999</v>
      </c>
      <c r="F93" s="171">
        <v>171.2</v>
      </c>
      <c r="G93" s="172">
        <f>IF(F93="","",D93*F93/L93)</f>
        <v>0.50182418490562386</v>
      </c>
      <c r="H93" s="171"/>
      <c r="I93" s="171"/>
      <c r="J93" s="714">
        <v>7774240</v>
      </c>
      <c r="K93" s="173"/>
      <c r="L93" s="174">
        <f>IF(D93="","",IF(F93&lt;&gt;"",F93*D93+J93*(E93/100),(J93-K93)*(E93/100)+H93*I93))</f>
        <v>40597.485359999999</v>
      </c>
      <c r="M93" s="175"/>
    </row>
    <row r="94" spans="1:13" s="176" customFormat="1" x14ac:dyDescent="0.2">
      <c r="A94" s="169"/>
      <c r="B94" s="619" t="s">
        <v>304</v>
      </c>
      <c r="C94" s="15" t="s">
        <v>942</v>
      </c>
      <c r="D94" s="17">
        <v>120</v>
      </c>
      <c r="E94" s="170">
        <v>0.13664999999999999</v>
      </c>
      <c r="F94" s="171">
        <v>90</v>
      </c>
      <c r="G94" s="172">
        <f t="shared" ref="G94:G142" si="2">IF(F94="","",D94*F94/L94)</f>
        <v>0.50173190746588536</v>
      </c>
      <c r="H94" s="171"/>
      <c r="I94" s="171"/>
      <c r="J94" s="714">
        <v>7848840</v>
      </c>
      <c r="K94" s="173"/>
      <c r="L94" s="174">
        <f t="shared" ref="L94:L142" si="3">IF(D94="","",IF(F94&lt;&gt;"",F94*D94+J94*(E94/100),(J94-K94)*(E94/100)+H94*I94))</f>
        <v>21525.439859999999</v>
      </c>
      <c r="M94" s="175"/>
    </row>
    <row r="95" spans="1:13" s="176" customFormat="1" x14ac:dyDescent="0.2">
      <c r="A95" s="169"/>
      <c r="B95" s="619" t="s">
        <v>304</v>
      </c>
      <c r="C95" s="15" t="s">
        <v>943</v>
      </c>
      <c r="D95" s="17">
        <v>120</v>
      </c>
      <c r="E95" s="170">
        <v>0.22245000000000001</v>
      </c>
      <c r="F95" s="171">
        <v>146.5</v>
      </c>
      <c r="G95" s="172">
        <f t="shared" si="2"/>
        <v>0.50171598596738398</v>
      </c>
      <c r="H95" s="171"/>
      <c r="I95" s="171"/>
      <c r="J95" s="714">
        <v>7848840</v>
      </c>
      <c r="K95" s="173"/>
      <c r="L95" s="174">
        <f t="shared" si="3"/>
        <v>35039.744579999999</v>
      </c>
      <c r="M95" s="175"/>
    </row>
    <row r="96" spans="1:13" s="176" customFormat="1" x14ac:dyDescent="0.2">
      <c r="A96" s="169"/>
      <c r="B96" s="619" t="s">
        <v>304</v>
      </c>
      <c r="C96" s="15" t="s">
        <v>944</v>
      </c>
      <c r="D96" s="17">
        <v>18</v>
      </c>
      <c r="E96" s="170">
        <v>0.18795000000000001</v>
      </c>
      <c r="F96" s="171">
        <v>332.25</v>
      </c>
      <c r="G96" s="172">
        <f t="shared" si="2"/>
        <v>0.4954813886900501</v>
      </c>
      <c r="H96" s="171"/>
      <c r="I96" s="171"/>
      <c r="J96" s="714">
        <v>3240000</v>
      </c>
      <c r="K96" s="173"/>
      <c r="L96" s="174">
        <f t="shared" si="3"/>
        <v>12070.08</v>
      </c>
      <c r="M96" s="175"/>
    </row>
    <row r="97" spans="1:13" s="176" customFormat="1" x14ac:dyDescent="0.2">
      <c r="A97" s="169"/>
      <c r="B97" s="619" t="s">
        <v>304</v>
      </c>
      <c r="C97" s="15" t="s">
        <v>945</v>
      </c>
      <c r="D97" s="17">
        <v>18</v>
      </c>
      <c r="E97" s="170">
        <v>8.0750000000000002E-2</v>
      </c>
      <c r="F97" s="171">
        <v>110.8</v>
      </c>
      <c r="G97" s="172">
        <f t="shared" si="2"/>
        <v>0.43255904743314461</v>
      </c>
      <c r="H97" s="171"/>
      <c r="I97" s="171"/>
      <c r="J97" s="714">
        <v>3240000</v>
      </c>
      <c r="K97" s="173"/>
      <c r="L97" s="174">
        <f t="shared" si="3"/>
        <v>4610.7</v>
      </c>
      <c r="M97" s="175"/>
    </row>
    <row r="98" spans="1:13" s="176" customFormat="1" x14ac:dyDescent="0.2">
      <c r="A98" s="169"/>
      <c r="B98" s="619" t="s">
        <v>304</v>
      </c>
      <c r="C98" s="15" t="s">
        <v>946</v>
      </c>
      <c r="D98" s="17">
        <v>18</v>
      </c>
      <c r="E98" s="170">
        <v>0.24395</v>
      </c>
      <c r="F98" s="171">
        <v>334.5</v>
      </c>
      <c r="G98" s="172">
        <f t="shared" si="2"/>
        <v>0.4323884127661225</v>
      </c>
      <c r="H98" s="171"/>
      <c r="I98" s="171"/>
      <c r="J98" s="714">
        <v>3240000</v>
      </c>
      <c r="K98" s="173"/>
      <c r="L98" s="174">
        <f t="shared" si="3"/>
        <v>13924.98</v>
      </c>
      <c r="M98" s="175"/>
    </row>
    <row r="99" spans="1:13" s="176" customFormat="1" x14ac:dyDescent="0.2">
      <c r="A99" s="169"/>
      <c r="B99" s="619" t="s">
        <v>304</v>
      </c>
      <c r="C99" s="15" t="s">
        <v>947</v>
      </c>
      <c r="D99" s="17">
        <v>25</v>
      </c>
      <c r="E99" s="170">
        <v>0.40644999999999998</v>
      </c>
      <c r="F99" s="171">
        <v>270</v>
      </c>
      <c r="G99" s="172">
        <f t="shared" si="2"/>
        <v>0.49830782046508143</v>
      </c>
      <c r="H99" s="171"/>
      <c r="I99" s="171"/>
      <c r="J99" s="714">
        <v>1672000</v>
      </c>
      <c r="K99" s="173"/>
      <c r="L99" s="174">
        <f t="shared" si="3"/>
        <v>13545.843999999999</v>
      </c>
      <c r="M99" s="175"/>
    </row>
    <row r="100" spans="1:13" s="176" customFormat="1" x14ac:dyDescent="0.2">
      <c r="A100" s="169"/>
      <c r="B100" s="619" t="s">
        <v>304</v>
      </c>
      <c r="C100" s="15" t="s">
        <v>948</v>
      </c>
      <c r="D100" s="17">
        <v>25</v>
      </c>
      <c r="E100" s="170">
        <v>0.10065</v>
      </c>
      <c r="F100" s="171">
        <v>68</v>
      </c>
      <c r="G100" s="172">
        <f t="shared" si="2"/>
        <v>0.50253217092715408</v>
      </c>
      <c r="H100" s="171"/>
      <c r="I100" s="171"/>
      <c r="J100" s="714">
        <v>1672000</v>
      </c>
      <c r="K100" s="173"/>
      <c r="L100" s="174">
        <f t="shared" si="3"/>
        <v>3382.8679999999999</v>
      </c>
      <c r="M100" s="175"/>
    </row>
    <row r="101" spans="1:13" s="176" customFormat="1" x14ac:dyDescent="0.2">
      <c r="A101" s="169"/>
      <c r="B101" s="619" t="s">
        <v>304</v>
      </c>
      <c r="C101" s="15" t="s">
        <v>949</v>
      </c>
      <c r="D101" s="17">
        <v>25</v>
      </c>
      <c r="E101" s="170">
        <v>0.17265</v>
      </c>
      <c r="F101" s="171">
        <v>116</v>
      </c>
      <c r="G101" s="172">
        <f t="shared" si="2"/>
        <v>0.50114849410061812</v>
      </c>
      <c r="H101" s="171"/>
      <c r="I101" s="171"/>
      <c r="J101" s="714">
        <v>1672000</v>
      </c>
      <c r="K101" s="173"/>
      <c r="L101" s="174">
        <f t="shared" si="3"/>
        <v>5786.7080000000005</v>
      </c>
      <c r="M101" s="175"/>
    </row>
    <row r="102" spans="1:13" s="176" customFormat="1" ht="25.5" x14ac:dyDescent="0.2">
      <c r="A102" s="169"/>
      <c r="B102" s="619" t="s">
        <v>304</v>
      </c>
      <c r="C102" s="16" t="s">
        <v>950</v>
      </c>
      <c r="D102" s="17">
        <v>120</v>
      </c>
      <c r="E102" s="170"/>
      <c r="F102" s="171">
        <v>1.0000000000000001E-5</v>
      </c>
      <c r="G102" s="172">
        <f t="shared" si="2"/>
        <v>1</v>
      </c>
      <c r="H102" s="171"/>
      <c r="I102" s="171"/>
      <c r="J102" s="714">
        <v>7848840</v>
      </c>
      <c r="K102" s="173"/>
      <c r="L102" s="174">
        <f t="shared" si="3"/>
        <v>1.2000000000000001E-3</v>
      </c>
      <c r="M102" s="175"/>
    </row>
    <row r="103" spans="1:13" s="176" customFormat="1" ht="25.5" x14ac:dyDescent="0.2">
      <c r="A103" s="169"/>
      <c r="B103" s="619" t="s">
        <v>306</v>
      </c>
      <c r="C103" s="16" t="s">
        <v>951</v>
      </c>
      <c r="D103" s="17">
        <v>118</v>
      </c>
      <c r="E103" s="170"/>
      <c r="F103" s="171">
        <v>1.0000000000000001E-5</v>
      </c>
      <c r="G103" s="172">
        <f t="shared" si="2"/>
        <v>1</v>
      </c>
      <c r="H103" s="171"/>
      <c r="I103" s="171"/>
      <c r="J103" s="714">
        <v>7848840</v>
      </c>
      <c r="K103" s="173"/>
      <c r="L103" s="174">
        <f t="shared" si="3"/>
        <v>1.1800000000000001E-3</v>
      </c>
      <c r="M103" s="175"/>
    </row>
    <row r="104" spans="1:13" s="176" customFormat="1" ht="25.5" x14ac:dyDescent="0.2">
      <c r="A104" s="169"/>
      <c r="B104" s="619" t="s">
        <v>306</v>
      </c>
      <c r="C104" s="16" t="s">
        <v>981</v>
      </c>
      <c r="D104" s="17">
        <v>18</v>
      </c>
      <c r="E104" s="170"/>
      <c r="F104" s="171">
        <v>1.0000000000000001E-5</v>
      </c>
      <c r="G104" s="172">
        <f t="shared" si="2"/>
        <v>1</v>
      </c>
      <c r="H104" s="171"/>
      <c r="I104" s="171"/>
      <c r="J104" s="173">
        <v>121140</v>
      </c>
      <c r="K104" s="173"/>
      <c r="L104" s="174">
        <f t="shared" si="3"/>
        <v>1.8000000000000001E-4</v>
      </c>
      <c r="M104" s="175"/>
    </row>
    <row r="105" spans="1:13" s="176" customFormat="1" x14ac:dyDescent="0.2">
      <c r="A105" s="169"/>
      <c r="B105" s="619" t="s">
        <v>306</v>
      </c>
      <c r="C105" s="15"/>
      <c r="D105" s="17"/>
      <c r="E105" s="170"/>
      <c r="F105" s="171"/>
      <c r="G105" s="172" t="str">
        <f t="shared" si="2"/>
        <v/>
      </c>
      <c r="H105" s="171"/>
      <c r="I105" s="171"/>
      <c r="J105" s="173"/>
      <c r="K105" s="173"/>
      <c r="L105" s="174" t="str">
        <f t="shared" si="3"/>
        <v/>
      </c>
      <c r="M105" s="175"/>
    </row>
    <row r="106" spans="1:13" s="176" customFormat="1" x14ac:dyDescent="0.2">
      <c r="A106" s="169"/>
      <c r="B106" s="619" t="s">
        <v>306</v>
      </c>
      <c r="C106" s="15"/>
      <c r="D106" s="17"/>
      <c r="E106" s="170"/>
      <c r="F106" s="171"/>
      <c r="G106" s="172" t="str">
        <f t="shared" si="2"/>
        <v/>
      </c>
      <c r="H106" s="171"/>
      <c r="I106" s="171"/>
      <c r="J106" s="173"/>
      <c r="K106" s="173"/>
      <c r="L106" s="174" t="str">
        <f t="shared" si="3"/>
        <v/>
      </c>
      <c r="M106" s="175"/>
    </row>
    <row r="107" spans="1:13" s="176" customFormat="1" x14ac:dyDescent="0.2">
      <c r="A107" s="169"/>
      <c r="B107" s="619" t="s">
        <v>306</v>
      </c>
      <c r="C107" s="15"/>
      <c r="D107" s="17"/>
      <c r="E107" s="170"/>
      <c r="F107" s="171"/>
      <c r="G107" s="172" t="str">
        <f t="shared" si="2"/>
        <v/>
      </c>
      <c r="H107" s="171"/>
      <c r="I107" s="171"/>
      <c r="J107" s="173"/>
      <c r="K107" s="173"/>
      <c r="L107" s="174" t="str">
        <f t="shared" si="3"/>
        <v/>
      </c>
      <c r="M107" s="175"/>
    </row>
    <row r="108" spans="1:13" s="176" customFormat="1" x14ac:dyDescent="0.2">
      <c r="A108" s="169"/>
      <c r="B108" s="619" t="s">
        <v>306</v>
      </c>
      <c r="C108" s="15"/>
      <c r="D108" s="17"/>
      <c r="E108" s="170"/>
      <c r="F108" s="171"/>
      <c r="G108" s="172" t="str">
        <f t="shared" si="2"/>
        <v/>
      </c>
      <c r="H108" s="171"/>
      <c r="I108" s="171"/>
      <c r="J108" s="173"/>
      <c r="K108" s="173"/>
      <c r="L108" s="174" t="str">
        <f t="shared" si="3"/>
        <v/>
      </c>
      <c r="M108" s="175"/>
    </row>
    <row r="109" spans="1:13" s="176" customFormat="1" x14ac:dyDescent="0.2">
      <c r="A109" s="169"/>
      <c r="B109" s="619" t="s">
        <v>306</v>
      </c>
      <c r="C109" s="15"/>
      <c r="D109" s="17"/>
      <c r="E109" s="170"/>
      <c r="F109" s="171"/>
      <c r="G109" s="172" t="str">
        <f t="shared" si="2"/>
        <v/>
      </c>
      <c r="H109" s="171"/>
      <c r="I109" s="171"/>
      <c r="J109" s="173"/>
      <c r="K109" s="173"/>
      <c r="L109" s="174" t="str">
        <f t="shared" si="3"/>
        <v/>
      </c>
      <c r="M109" s="175"/>
    </row>
    <row r="110" spans="1:13" s="176" customFormat="1" x14ac:dyDescent="0.2">
      <c r="A110" s="169"/>
      <c r="B110" s="619" t="s">
        <v>306</v>
      </c>
      <c r="C110" s="15"/>
      <c r="D110" s="17"/>
      <c r="E110" s="170"/>
      <c r="F110" s="171"/>
      <c r="G110" s="172" t="str">
        <f t="shared" si="2"/>
        <v/>
      </c>
      <c r="H110" s="171"/>
      <c r="I110" s="171"/>
      <c r="J110" s="173"/>
      <c r="K110" s="173"/>
      <c r="L110" s="174" t="str">
        <f t="shared" si="3"/>
        <v/>
      </c>
      <c r="M110" s="175"/>
    </row>
    <row r="111" spans="1:13" s="176" customFormat="1" x14ac:dyDescent="0.2">
      <c r="A111" s="169"/>
      <c r="B111" s="619" t="s">
        <v>306</v>
      </c>
      <c r="C111" s="15"/>
      <c r="D111" s="17"/>
      <c r="E111" s="170"/>
      <c r="F111" s="171"/>
      <c r="G111" s="172" t="str">
        <f t="shared" si="2"/>
        <v/>
      </c>
      <c r="H111" s="171"/>
      <c r="I111" s="171"/>
      <c r="J111" s="173"/>
      <c r="K111" s="173"/>
      <c r="L111" s="174" t="str">
        <f t="shared" si="3"/>
        <v/>
      </c>
      <c r="M111" s="175"/>
    </row>
    <row r="112" spans="1:13" s="176" customFormat="1" x14ac:dyDescent="0.2">
      <c r="A112" s="169"/>
      <c r="B112" s="619" t="s">
        <v>306</v>
      </c>
      <c r="C112" s="15"/>
      <c r="D112" s="17"/>
      <c r="E112" s="170"/>
      <c r="F112" s="171"/>
      <c r="G112" s="172" t="str">
        <f t="shared" si="2"/>
        <v/>
      </c>
      <c r="H112" s="171"/>
      <c r="I112" s="171"/>
      <c r="J112" s="173"/>
      <c r="K112" s="173"/>
      <c r="L112" s="174" t="str">
        <f t="shared" si="3"/>
        <v/>
      </c>
      <c r="M112" s="175"/>
    </row>
    <row r="113" spans="1:13" s="176" customFormat="1" x14ac:dyDescent="0.2">
      <c r="A113" s="169"/>
      <c r="B113" s="619" t="s">
        <v>306</v>
      </c>
      <c r="C113" s="15"/>
      <c r="D113" s="17"/>
      <c r="E113" s="170"/>
      <c r="F113" s="171"/>
      <c r="G113" s="172" t="str">
        <f t="shared" si="2"/>
        <v/>
      </c>
      <c r="H113" s="171"/>
      <c r="I113" s="171"/>
      <c r="J113" s="173"/>
      <c r="K113" s="173"/>
      <c r="L113" s="174" t="str">
        <f t="shared" si="3"/>
        <v/>
      </c>
      <c r="M113" s="175"/>
    </row>
    <row r="114" spans="1:13" s="176" customFormat="1" x14ac:dyDescent="0.2">
      <c r="A114" s="169"/>
      <c r="B114" s="619" t="s">
        <v>306</v>
      </c>
      <c r="C114" s="15"/>
      <c r="D114" s="17"/>
      <c r="E114" s="170"/>
      <c r="F114" s="171"/>
      <c r="G114" s="172" t="str">
        <f t="shared" si="2"/>
        <v/>
      </c>
      <c r="H114" s="171"/>
      <c r="I114" s="171"/>
      <c r="J114" s="173"/>
      <c r="K114" s="173"/>
      <c r="L114" s="174" t="str">
        <f t="shared" si="3"/>
        <v/>
      </c>
      <c r="M114" s="175"/>
    </row>
    <row r="115" spans="1:13" s="176" customFormat="1" x14ac:dyDescent="0.2">
      <c r="A115" s="169"/>
      <c r="B115" s="619" t="s">
        <v>306</v>
      </c>
      <c r="C115" s="15"/>
      <c r="D115" s="17"/>
      <c r="E115" s="170"/>
      <c r="F115" s="171"/>
      <c r="G115" s="172" t="str">
        <f t="shared" si="2"/>
        <v/>
      </c>
      <c r="H115" s="171"/>
      <c r="I115" s="171"/>
      <c r="J115" s="173"/>
      <c r="K115" s="173"/>
      <c r="L115" s="174" t="str">
        <f t="shared" si="3"/>
        <v/>
      </c>
      <c r="M115" s="175"/>
    </row>
    <row r="116" spans="1:13" s="176" customFormat="1" x14ac:dyDescent="0.2">
      <c r="A116" s="169"/>
      <c r="B116" s="619" t="s">
        <v>306</v>
      </c>
      <c r="C116" s="15"/>
      <c r="D116" s="17"/>
      <c r="E116" s="170"/>
      <c r="F116" s="171"/>
      <c r="G116" s="172" t="str">
        <f t="shared" si="2"/>
        <v/>
      </c>
      <c r="H116" s="171"/>
      <c r="I116" s="171"/>
      <c r="J116" s="173"/>
      <c r="K116" s="173"/>
      <c r="L116" s="174" t="str">
        <f t="shared" si="3"/>
        <v/>
      </c>
      <c r="M116" s="175"/>
    </row>
    <row r="117" spans="1:13" s="176" customFormat="1" x14ac:dyDescent="0.2">
      <c r="A117" s="169"/>
      <c r="B117" s="619" t="s">
        <v>306</v>
      </c>
      <c r="C117" s="15"/>
      <c r="D117" s="17"/>
      <c r="E117" s="170"/>
      <c r="F117" s="171"/>
      <c r="G117" s="172" t="str">
        <f t="shared" si="2"/>
        <v/>
      </c>
      <c r="H117" s="171"/>
      <c r="I117" s="171"/>
      <c r="J117" s="173"/>
      <c r="K117" s="173"/>
      <c r="L117" s="174" t="str">
        <f t="shared" si="3"/>
        <v/>
      </c>
      <c r="M117" s="175"/>
    </row>
    <row r="118" spans="1:13" s="176" customFormat="1" x14ac:dyDescent="0.2">
      <c r="A118" s="169"/>
      <c r="B118" s="619" t="s">
        <v>306</v>
      </c>
      <c r="C118" s="15"/>
      <c r="D118" s="17"/>
      <c r="E118" s="170"/>
      <c r="F118" s="171"/>
      <c r="G118" s="172" t="str">
        <f t="shared" si="2"/>
        <v/>
      </c>
      <c r="H118" s="171"/>
      <c r="I118" s="171"/>
      <c r="J118" s="173"/>
      <c r="K118" s="173"/>
      <c r="L118" s="174" t="str">
        <f t="shared" si="3"/>
        <v/>
      </c>
      <c r="M118" s="175"/>
    </row>
    <row r="119" spans="1:13" s="176" customFormat="1" x14ac:dyDescent="0.2">
      <c r="A119" s="169"/>
      <c r="B119" s="619" t="s">
        <v>306</v>
      </c>
      <c r="C119" s="15"/>
      <c r="D119" s="17"/>
      <c r="E119" s="170"/>
      <c r="F119" s="171"/>
      <c r="G119" s="172" t="str">
        <f t="shared" si="2"/>
        <v/>
      </c>
      <c r="H119" s="171"/>
      <c r="I119" s="171"/>
      <c r="J119" s="173"/>
      <c r="K119" s="173"/>
      <c r="L119" s="174" t="str">
        <f t="shared" si="3"/>
        <v/>
      </c>
      <c r="M119" s="175"/>
    </row>
    <row r="120" spans="1:13" s="176" customFormat="1" x14ac:dyDescent="0.2">
      <c r="A120" s="169"/>
      <c r="B120" s="619" t="s">
        <v>306</v>
      </c>
      <c r="C120" s="15"/>
      <c r="D120" s="17"/>
      <c r="E120" s="170"/>
      <c r="F120" s="171"/>
      <c r="G120" s="172" t="str">
        <f t="shared" si="2"/>
        <v/>
      </c>
      <c r="H120" s="171"/>
      <c r="I120" s="171"/>
      <c r="J120" s="173"/>
      <c r="K120" s="173"/>
      <c r="L120" s="174" t="str">
        <f t="shared" si="3"/>
        <v/>
      </c>
      <c r="M120" s="175"/>
    </row>
    <row r="121" spans="1:13" s="176" customFormat="1" x14ac:dyDescent="0.2">
      <c r="A121" s="169"/>
      <c r="B121" s="619" t="s">
        <v>306</v>
      </c>
      <c r="C121" s="15"/>
      <c r="D121" s="17"/>
      <c r="E121" s="170"/>
      <c r="F121" s="171"/>
      <c r="G121" s="172" t="str">
        <f t="shared" si="2"/>
        <v/>
      </c>
      <c r="H121" s="171"/>
      <c r="I121" s="171"/>
      <c r="J121" s="173"/>
      <c r="K121" s="173"/>
      <c r="L121" s="174" t="str">
        <f t="shared" si="3"/>
        <v/>
      </c>
      <c r="M121" s="175"/>
    </row>
    <row r="122" spans="1:13" s="176" customFormat="1" x14ac:dyDescent="0.2">
      <c r="A122" s="169"/>
      <c r="B122" s="619" t="s">
        <v>306</v>
      </c>
      <c r="C122" s="15"/>
      <c r="D122" s="17"/>
      <c r="E122" s="170"/>
      <c r="F122" s="171"/>
      <c r="G122" s="172" t="str">
        <f t="shared" si="2"/>
        <v/>
      </c>
      <c r="H122" s="171"/>
      <c r="I122" s="171"/>
      <c r="J122" s="173"/>
      <c r="K122" s="173"/>
      <c r="L122" s="174" t="str">
        <f t="shared" si="3"/>
        <v/>
      </c>
      <c r="M122" s="175"/>
    </row>
    <row r="123" spans="1:13" s="176" customFormat="1" x14ac:dyDescent="0.2">
      <c r="A123" s="169"/>
      <c r="B123" s="619" t="s">
        <v>302</v>
      </c>
      <c r="C123" s="15"/>
      <c r="D123" s="17"/>
      <c r="E123" s="170"/>
      <c r="F123" s="171"/>
      <c r="G123" s="172" t="str">
        <f t="shared" si="2"/>
        <v/>
      </c>
      <c r="H123" s="171"/>
      <c r="I123" s="171"/>
      <c r="J123" s="173"/>
      <c r="K123" s="173"/>
      <c r="L123" s="174" t="str">
        <f t="shared" si="3"/>
        <v/>
      </c>
      <c r="M123" s="175"/>
    </row>
    <row r="124" spans="1:13" s="176" customFormat="1" x14ac:dyDescent="0.2">
      <c r="A124" s="169"/>
      <c r="B124" s="619" t="s">
        <v>302</v>
      </c>
      <c r="C124" s="15"/>
      <c r="D124" s="17"/>
      <c r="E124" s="170"/>
      <c r="F124" s="171"/>
      <c r="G124" s="172" t="str">
        <f t="shared" si="2"/>
        <v/>
      </c>
      <c r="H124" s="171"/>
      <c r="I124" s="171"/>
      <c r="J124" s="173"/>
      <c r="K124" s="173"/>
      <c r="L124" s="174" t="str">
        <f t="shared" si="3"/>
        <v/>
      </c>
      <c r="M124" s="175"/>
    </row>
    <row r="125" spans="1:13" s="176" customFormat="1" x14ac:dyDescent="0.2">
      <c r="A125" s="169"/>
      <c r="B125" s="619" t="s">
        <v>302</v>
      </c>
      <c r="C125" s="15"/>
      <c r="D125" s="17"/>
      <c r="E125" s="170"/>
      <c r="F125" s="171"/>
      <c r="G125" s="172" t="str">
        <f t="shared" si="2"/>
        <v/>
      </c>
      <c r="H125" s="171"/>
      <c r="I125" s="171"/>
      <c r="J125" s="173"/>
      <c r="K125" s="173"/>
      <c r="L125" s="174" t="str">
        <f t="shared" si="3"/>
        <v/>
      </c>
      <c r="M125" s="175"/>
    </row>
    <row r="126" spans="1:13" s="176" customFormat="1" x14ac:dyDescent="0.2">
      <c r="A126" s="169"/>
      <c r="B126" s="619" t="s">
        <v>302</v>
      </c>
      <c r="C126" s="415"/>
      <c r="D126" s="17"/>
      <c r="E126" s="170"/>
      <c r="F126" s="171"/>
      <c r="G126" s="172" t="str">
        <f t="shared" si="2"/>
        <v/>
      </c>
      <c r="H126" s="171"/>
      <c r="I126" s="171"/>
      <c r="J126" s="173"/>
      <c r="K126" s="173"/>
      <c r="L126" s="174" t="str">
        <f t="shared" si="3"/>
        <v/>
      </c>
      <c r="M126" s="175"/>
    </row>
    <row r="127" spans="1:13" s="176" customFormat="1" x14ac:dyDescent="0.2">
      <c r="A127" s="169"/>
      <c r="B127" s="619" t="s">
        <v>302</v>
      </c>
      <c r="C127" s="415"/>
      <c r="D127" s="17"/>
      <c r="E127" s="170"/>
      <c r="F127" s="171"/>
      <c r="G127" s="172" t="str">
        <f t="shared" si="2"/>
        <v/>
      </c>
      <c r="H127" s="171"/>
      <c r="I127" s="171"/>
      <c r="J127" s="173"/>
      <c r="K127" s="173"/>
      <c r="L127" s="174" t="str">
        <f t="shared" si="3"/>
        <v/>
      </c>
      <c r="M127" s="175"/>
    </row>
    <row r="128" spans="1:13" s="176" customFormat="1" x14ac:dyDescent="0.2">
      <c r="A128" s="169"/>
      <c r="B128" s="619" t="s">
        <v>302</v>
      </c>
      <c r="C128" s="415"/>
      <c r="D128" s="17"/>
      <c r="E128" s="170"/>
      <c r="F128" s="171"/>
      <c r="G128" s="172" t="str">
        <f t="shared" si="2"/>
        <v/>
      </c>
      <c r="H128" s="171"/>
      <c r="I128" s="171"/>
      <c r="J128" s="173"/>
      <c r="K128" s="173"/>
      <c r="L128" s="174" t="str">
        <f t="shared" si="3"/>
        <v/>
      </c>
      <c r="M128" s="175"/>
    </row>
    <row r="129" spans="1:13" s="176" customFormat="1" x14ac:dyDescent="0.2">
      <c r="A129" s="169"/>
      <c r="B129" s="619" t="s">
        <v>302</v>
      </c>
      <c r="C129" s="415"/>
      <c r="D129" s="17"/>
      <c r="E129" s="170"/>
      <c r="F129" s="171"/>
      <c r="G129" s="172" t="str">
        <f t="shared" si="2"/>
        <v/>
      </c>
      <c r="H129" s="171"/>
      <c r="I129" s="171"/>
      <c r="J129" s="173"/>
      <c r="K129" s="173"/>
      <c r="L129" s="174" t="str">
        <f t="shared" si="3"/>
        <v/>
      </c>
      <c r="M129" s="175"/>
    </row>
    <row r="130" spans="1:13" s="176" customFormat="1" x14ac:dyDescent="0.2">
      <c r="A130" s="169"/>
      <c r="B130" s="619" t="s">
        <v>302</v>
      </c>
      <c r="C130" s="415"/>
      <c r="D130" s="17"/>
      <c r="E130" s="170"/>
      <c r="F130" s="171"/>
      <c r="G130" s="172" t="str">
        <f t="shared" si="2"/>
        <v/>
      </c>
      <c r="H130" s="171"/>
      <c r="I130" s="171"/>
      <c r="J130" s="173"/>
      <c r="K130" s="173"/>
      <c r="L130" s="174" t="str">
        <f t="shared" si="3"/>
        <v/>
      </c>
      <c r="M130" s="175"/>
    </row>
    <row r="131" spans="1:13" s="176" customFormat="1" x14ac:dyDescent="0.2">
      <c r="A131" s="169"/>
      <c r="B131" s="619" t="s">
        <v>302</v>
      </c>
      <c r="C131" s="415"/>
      <c r="D131" s="17"/>
      <c r="E131" s="170"/>
      <c r="F131" s="171"/>
      <c r="G131" s="172" t="str">
        <f t="shared" si="2"/>
        <v/>
      </c>
      <c r="H131" s="171"/>
      <c r="I131" s="171"/>
      <c r="J131" s="173"/>
      <c r="K131" s="173"/>
      <c r="L131" s="174" t="str">
        <f t="shared" si="3"/>
        <v/>
      </c>
      <c r="M131" s="175"/>
    </row>
    <row r="132" spans="1:13" s="176" customFormat="1" x14ac:dyDescent="0.2">
      <c r="A132" s="169"/>
      <c r="B132" s="619" t="s">
        <v>302</v>
      </c>
      <c r="C132" s="415"/>
      <c r="D132" s="17"/>
      <c r="E132" s="170"/>
      <c r="F132" s="171"/>
      <c r="G132" s="172" t="str">
        <f t="shared" si="2"/>
        <v/>
      </c>
      <c r="H132" s="171"/>
      <c r="I132" s="171"/>
      <c r="J132" s="173"/>
      <c r="K132" s="173"/>
      <c r="L132" s="174" t="str">
        <f t="shared" si="3"/>
        <v/>
      </c>
      <c r="M132" s="175"/>
    </row>
    <row r="133" spans="1:13" s="176" customFormat="1" x14ac:dyDescent="0.2">
      <c r="A133" s="169"/>
      <c r="B133" s="619" t="s">
        <v>305</v>
      </c>
      <c r="C133" s="415"/>
      <c r="D133" s="17"/>
      <c r="E133" s="170"/>
      <c r="F133" s="171"/>
      <c r="G133" s="172" t="str">
        <f t="shared" si="2"/>
        <v/>
      </c>
      <c r="H133" s="171"/>
      <c r="I133" s="171"/>
      <c r="J133" s="173"/>
      <c r="K133" s="173"/>
      <c r="L133" s="174" t="str">
        <f t="shared" si="3"/>
        <v/>
      </c>
      <c r="M133" s="175"/>
    </row>
    <row r="134" spans="1:13" s="176" customFormat="1" x14ac:dyDescent="0.2">
      <c r="A134" s="169"/>
      <c r="B134" s="619" t="s">
        <v>305</v>
      </c>
      <c r="C134" s="415"/>
      <c r="D134" s="17"/>
      <c r="E134" s="170"/>
      <c r="F134" s="171"/>
      <c r="G134" s="172" t="str">
        <f t="shared" si="2"/>
        <v/>
      </c>
      <c r="H134" s="171"/>
      <c r="I134" s="171"/>
      <c r="J134" s="173"/>
      <c r="K134" s="173"/>
      <c r="L134" s="174" t="str">
        <f t="shared" si="3"/>
        <v/>
      </c>
      <c r="M134" s="175"/>
    </row>
    <row r="135" spans="1:13" s="176" customFormat="1" x14ac:dyDescent="0.2">
      <c r="A135" s="169"/>
      <c r="B135" s="619" t="s">
        <v>305</v>
      </c>
      <c r="C135" s="415"/>
      <c r="D135" s="17"/>
      <c r="E135" s="170"/>
      <c r="F135" s="171"/>
      <c r="G135" s="172" t="str">
        <f t="shared" si="2"/>
        <v/>
      </c>
      <c r="H135" s="171"/>
      <c r="I135" s="171"/>
      <c r="J135" s="173"/>
      <c r="K135" s="173"/>
      <c r="L135" s="174" t="str">
        <f t="shared" si="3"/>
        <v/>
      </c>
      <c r="M135" s="175"/>
    </row>
    <row r="136" spans="1:13" s="176" customFormat="1" x14ac:dyDescent="0.2">
      <c r="A136" s="169"/>
      <c r="B136" s="619" t="s">
        <v>305</v>
      </c>
      <c r="C136" s="415"/>
      <c r="D136" s="17"/>
      <c r="E136" s="170"/>
      <c r="F136" s="171"/>
      <c r="G136" s="172" t="str">
        <f t="shared" si="2"/>
        <v/>
      </c>
      <c r="H136" s="171"/>
      <c r="I136" s="171"/>
      <c r="J136" s="173"/>
      <c r="K136" s="173"/>
      <c r="L136" s="174" t="str">
        <f t="shared" si="3"/>
        <v/>
      </c>
      <c r="M136" s="175"/>
    </row>
    <row r="137" spans="1:13" s="176" customFormat="1" x14ac:dyDescent="0.2">
      <c r="A137" s="169"/>
      <c r="B137" s="619" t="s">
        <v>305</v>
      </c>
      <c r="C137" s="415"/>
      <c r="D137" s="17"/>
      <c r="E137" s="170"/>
      <c r="F137" s="171"/>
      <c r="G137" s="172" t="str">
        <f t="shared" si="2"/>
        <v/>
      </c>
      <c r="H137" s="171"/>
      <c r="I137" s="171"/>
      <c r="J137" s="173"/>
      <c r="K137" s="173"/>
      <c r="L137" s="174" t="str">
        <f t="shared" si="3"/>
        <v/>
      </c>
      <c r="M137" s="175"/>
    </row>
    <row r="138" spans="1:13" s="176" customFormat="1" x14ac:dyDescent="0.2">
      <c r="A138" s="169"/>
      <c r="B138" s="619" t="s">
        <v>305</v>
      </c>
      <c r="C138" s="415"/>
      <c r="D138" s="17"/>
      <c r="E138" s="170"/>
      <c r="F138" s="171"/>
      <c r="G138" s="172" t="str">
        <f t="shared" si="2"/>
        <v/>
      </c>
      <c r="H138" s="171"/>
      <c r="I138" s="171"/>
      <c r="J138" s="173"/>
      <c r="K138" s="173"/>
      <c r="L138" s="174" t="str">
        <f t="shared" si="3"/>
        <v/>
      </c>
      <c r="M138" s="175"/>
    </row>
    <row r="139" spans="1:13" s="176" customFormat="1" x14ac:dyDescent="0.2">
      <c r="A139" s="169"/>
      <c r="B139" s="619" t="s">
        <v>305</v>
      </c>
      <c r="C139" s="415"/>
      <c r="D139" s="17"/>
      <c r="E139" s="170"/>
      <c r="F139" s="171"/>
      <c r="G139" s="172" t="str">
        <f t="shared" si="2"/>
        <v/>
      </c>
      <c r="H139" s="171"/>
      <c r="I139" s="171"/>
      <c r="J139" s="173"/>
      <c r="K139" s="173"/>
      <c r="L139" s="174" t="str">
        <f t="shared" si="3"/>
        <v/>
      </c>
      <c r="M139" s="175"/>
    </row>
    <row r="140" spans="1:13" s="176" customFormat="1" x14ac:dyDescent="0.2">
      <c r="A140" s="169"/>
      <c r="B140" s="619" t="s">
        <v>305</v>
      </c>
      <c r="C140" s="415"/>
      <c r="D140" s="17"/>
      <c r="E140" s="170"/>
      <c r="F140" s="171"/>
      <c r="G140" s="172" t="str">
        <f t="shared" si="2"/>
        <v/>
      </c>
      <c r="H140" s="171"/>
      <c r="I140" s="171"/>
      <c r="J140" s="173"/>
      <c r="K140" s="173"/>
      <c r="L140" s="174" t="str">
        <f t="shared" si="3"/>
        <v/>
      </c>
      <c r="M140" s="175"/>
    </row>
    <row r="141" spans="1:13" s="176" customFormat="1" x14ac:dyDescent="0.2">
      <c r="A141" s="169"/>
      <c r="B141" s="619" t="s">
        <v>305</v>
      </c>
      <c r="C141" s="415"/>
      <c r="D141" s="17"/>
      <c r="E141" s="170"/>
      <c r="F141" s="171"/>
      <c r="G141" s="172" t="str">
        <f t="shared" si="2"/>
        <v/>
      </c>
      <c r="H141" s="171"/>
      <c r="I141" s="171"/>
      <c r="J141" s="173"/>
      <c r="K141" s="173"/>
      <c r="L141" s="174" t="str">
        <f t="shared" si="3"/>
        <v/>
      </c>
      <c r="M141" s="175"/>
    </row>
    <row r="142" spans="1:13" s="176" customFormat="1" x14ac:dyDescent="0.2">
      <c r="A142" s="169"/>
      <c r="B142" s="619" t="s">
        <v>305</v>
      </c>
      <c r="C142" s="415"/>
      <c r="D142" s="17"/>
      <c r="E142" s="415"/>
      <c r="F142" s="171"/>
      <c r="G142" s="172" t="str">
        <f t="shared" si="2"/>
        <v/>
      </c>
      <c r="H142" s="171"/>
      <c r="I142" s="415"/>
      <c r="J142" s="173"/>
      <c r="K142" s="415"/>
      <c r="L142" s="174" t="str">
        <f t="shared" si="3"/>
        <v/>
      </c>
      <c r="M142" s="175"/>
    </row>
    <row r="143" spans="1:13" x14ac:dyDescent="0.2">
      <c r="A143" s="36"/>
      <c r="B143" s="38"/>
      <c r="C143" s="38"/>
      <c r="D143" s="38"/>
      <c r="E143" s="38"/>
      <c r="F143" s="40"/>
      <c r="G143" s="38"/>
      <c r="H143" s="38"/>
      <c r="I143" s="38"/>
      <c r="J143" s="78"/>
      <c r="K143" s="62" t="s">
        <v>309</v>
      </c>
      <c r="L143" s="61">
        <f>SUM(L93:L142)</f>
        <v>150483.85235999999</v>
      </c>
      <c r="M143" s="45"/>
    </row>
    <row r="144" spans="1:13" x14ac:dyDescent="0.2">
      <c r="A144" s="63"/>
      <c r="B144" s="64"/>
      <c r="C144" s="64"/>
      <c r="D144" s="65"/>
      <c r="E144" s="65"/>
      <c r="F144" s="66"/>
      <c r="G144" s="65"/>
      <c r="H144" s="65"/>
      <c r="I144" s="65"/>
      <c r="J144" s="65"/>
      <c r="K144" s="67"/>
      <c r="L144" s="68"/>
      <c r="M144" s="69"/>
    </row>
    <row r="145" spans="1:13" ht="18" x14ac:dyDescent="0.25">
      <c r="A145" s="30"/>
      <c r="B145" s="70"/>
      <c r="C145" s="70"/>
      <c r="D145" s="32"/>
      <c r="E145" s="32"/>
      <c r="F145" s="32"/>
      <c r="G145" s="32"/>
      <c r="H145" s="32"/>
      <c r="I145" s="32"/>
      <c r="J145" s="32"/>
      <c r="K145" s="33"/>
      <c r="L145" s="33"/>
      <c r="M145" s="71"/>
    </row>
    <row r="146" spans="1:13" ht="15.75" x14ac:dyDescent="0.25">
      <c r="A146" s="36"/>
      <c r="B146" s="767" t="str">
        <f>B2</f>
        <v>Shoalhaven City Council</v>
      </c>
      <c r="C146" s="768"/>
      <c r="D146" s="768"/>
      <c r="E146" s="768"/>
      <c r="F146" s="769"/>
      <c r="G146" s="42"/>
      <c r="H146" s="42"/>
      <c r="I146" s="42"/>
      <c r="J146" s="38"/>
      <c r="K146" s="39"/>
      <c r="L146" s="40"/>
      <c r="M146" s="48"/>
    </row>
    <row r="147" spans="1:13" ht="23.25" x14ac:dyDescent="0.35">
      <c r="A147" s="36"/>
      <c r="B147" s="72"/>
      <c r="C147" s="774" t="s">
        <v>83</v>
      </c>
      <c r="D147" s="774"/>
      <c r="E147" s="774"/>
      <c r="F147" s="774"/>
      <c r="G147" s="774"/>
      <c r="H147" s="774"/>
      <c r="I147" s="774"/>
      <c r="J147" s="774"/>
      <c r="K147" s="774"/>
      <c r="L147" s="76"/>
      <c r="M147" s="46"/>
    </row>
    <row r="148" spans="1:13" ht="15.75" x14ac:dyDescent="0.25">
      <c r="A148" s="36"/>
      <c r="B148" s="73"/>
      <c r="C148" s="73"/>
      <c r="D148" s="74"/>
      <c r="E148" s="74"/>
      <c r="F148" s="74"/>
      <c r="G148" s="74"/>
      <c r="H148" s="74"/>
      <c r="I148" s="74"/>
      <c r="J148" s="75"/>
      <c r="K148" s="76"/>
      <c r="L148" s="76"/>
      <c r="M148" s="46"/>
    </row>
    <row r="149" spans="1:13" x14ac:dyDescent="0.2">
      <c r="A149" s="36"/>
      <c r="B149" s="47"/>
      <c r="C149" s="47"/>
      <c r="D149" s="42"/>
      <c r="E149" s="42"/>
      <c r="F149" s="42"/>
      <c r="G149" s="42"/>
      <c r="H149" s="42"/>
      <c r="I149" s="42"/>
      <c r="J149" s="38"/>
      <c r="K149" s="39"/>
      <c r="L149" s="39"/>
      <c r="M149" s="48"/>
    </row>
    <row r="150" spans="1:13" ht="38.25" x14ac:dyDescent="0.2">
      <c r="A150" s="51"/>
      <c r="B150" s="775" t="s">
        <v>84</v>
      </c>
      <c r="C150" s="776"/>
      <c r="D150" s="776"/>
      <c r="E150" s="776"/>
      <c r="F150" s="776"/>
      <c r="G150" s="776"/>
      <c r="H150" s="776"/>
      <c r="I150" s="777"/>
      <c r="J150" s="79" t="s">
        <v>85</v>
      </c>
      <c r="K150" s="77" t="s">
        <v>86</v>
      </c>
      <c r="L150" s="430" t="s">
        <v>463</v>
      </c>
      <c r="M150" s="45"/>
    </row>
    <row r="151" spans="1:13" x14ac:dyDescent="0.2">
      <c r="A151" s="36"/>
      <c r="B151" s="764"/>
      <c r="C151" s="765"/>
      <c r="D151" s="765"/>
      <c r="E151" s="765"/>
      <c r="F151" s="765"/>
      <c r="G151" s="765"/>
      <c r="H151" s="765"/>
      <c r="I151" s="766"/>
      <c r="J151" s="20"/>
      <c r="K151" s="20"/>
      <c r="L151" s="80" t="str">
        <f t="shared" ref="L151:L158" si="4">IF(B151="","",J151*K151)</f>
        <v/>
      </c>
      <c r="M151" s="45"/>
    </row>
    <row r="152" spans="1:13" x14ac:dyDescent="0.2">
      <c r="A152" s="36"/>
      <c r="B152" s="764"/>
      <c r="C152" s="765"/>
      <c r="D152" s="765"/>
      <c r="E152" s="765"/>
      <c r="F152" s="765"/>
      <c r="G152" s="765"/>
      <c r="H152" s="765"/>
      <c r="I152" s="766"/>
      <c r="J152" s="20"/>
      <c r="K152" s="20"/>
      <c r="L152" s="80" t="str">
        <f t="shared" si="4"/>
        <v/>
      </c>
      <c r="M152" s="45"/>
    </row>
    <row r="153" spans="1:13" x14ac:dyDescent="0.2">
      <c r="A153" s="36"/>
      <c r="B153" s="764"/>
      <c r="C153" s="765"/>
      <c r="D153" s="765"/>
      <c r="E153" s="765"/>
      <c r="F153" s="765"/>
      <c r="G153" s="765"/>
      <c r="H153" s="765"/>
      <c r="I153" s="766"/>
      <c r="J153" s="20"/>
      <c r="K153" s="20"/>
      <c r="L153" s="80" t="str">
        <f t="shared" si="4"/>
        <v/>
      </c>
      <c r="M153" s="45"/>
    </row>
    <row r="154" spans="1:13" x14ac:dyDescent="0.2">
      <c r="A154" s="36"/>
      <c r="B154" s="764"/>
      <c r="C154" s="765"/>
      <c r="D154" s="765"/>
      <c r="E154" s="765"/>
      <c r="F154" s="765"/>
      <c r="G154" s="765"/>
      <c r="H154" s="765"/>
      <c r="I154" s="766"/>
      <c r="J154" s="20"/>
      <c r="K154" s="20"/>
      <c r="L154" s="80" t="str">
        <f t="shared" si="4"/>
        <v/>
      </c>
      <c r="M154" s="45"/>
    </row>
    <row r="155" spans="1:13" x14ac:dyDescent="0.2">
      <c r="A155" s="36"/>
      <c r="B155" s="764"/>
      <c r="C155" s="765"/>
      <c r="D155" s="765"/>
      <c r="E155" s="765"/>
      <c r="F155" s="765"/>
      <c r="G155" s="765"/>
      <c r="H155" s="765"/>
      <c r="I155" s="766"/>
      <c r="J155" s="20"/>
      <c r="K155" s="20"/>
      <c r="L155" s="80" t="str">
        <f t="shared" si="4"/>
        <v/>
      </c>
      <c r="M155" s="45"/>
    </row>
    <row r="156" spans="1:13" x14ac:dyDescent="0.2">
      <c r="A156" s="36"/>
      <c r="B156" s="764"/>
      <c r="C156" s="765"/>
      <c r="D156" s="765"/>
      <c r="E156" s="765"/>
      <c r="F156" s="765"/>
      <c r="G156" s="765"/>
      <c r="H156" s="765"/>
      <c r="I156" s="766"/>
      <c r="J156" s="20"/>
      <c r="K156" s="20"/>
      <c r="L156" s="80" t="str">
        <f t="shared" si="4"/>
        <v/>
      </c>
      <c r="M156" s="45"/>
    </row>
    <row r="157" spans="1:13" x14ac:dyDescent="0.2">
      <c r="A157" s="36"/>
      <c r="B157" s="764"/>
      <c r="C157" s="765"/>
      <c r="D157" s="765"/>
      <c r="E157" s="765"/>
      <c r="F157" s="765"/>
      <c r="G157" s="765"/>
      <c r="H157" s="765"/>
      <c r="I157" s="766"/>
      <c r="J157" s="20"/>
      <c r="K157" s="20"/>
      <c r="L157" s="80" t="str">
        <f t="shared" si="4"/>
        <v/>
      </c>
      <c r="M157" s="45"/>
    </row>
    <row r="158" spans="1:13" x14ac:dyDescent="0.2">
      <c r="A158" s="36"/>
      <c r="B158" s="764"/>
      <c r="C158" s="765"/>
      <c r="D158" s="765"/>
      <c r="E158" s="765"/>
      <c r="F158" s="765"/>
      <c r="G158" s="765"/>
      <c r="H158" s="765"/>
      <c r="I158" s="766"/>
      <c r="J158" s="20"/>
      <c r="K158" s="20"/>
      <c r="L158" s="80" t="str">
        <f t="shared" si="4"/>
        <v/>
      </c>
      <c r="M158" s="45"/>
    </row>
    <row r="159" spans="1:13" x14ac:dyDescent="0.2">
      <c r="A159" s="36"/>
      <c r="B159" s="60"/>
      <c r="C159" s="60"/>
      <c r="D159" s="38"/>
      <c r="E159" s="38"/>
      <c r="F159" s="40"/>
      <c r="G159" s="38"/>
      <c r="H159" s="38"/>
      <c r="I159" s="38"/>
      <c r="J159" s="62"/>
      <c r="K159" s="62" t="s">
        <v>309</v>
      </c>
      <c r="L159" s="61">
        <f>SUM(L151:L158)</f>
        <v>0</v>
      </c>
      <c r="M159" s="45"/>
    </row>
    <row r="160" spans="1:13" x14ac:dyDescent="0.2">
      <c r="A160" s="36"/>
      <c r="B160" s="60"/>
      <c r="C160" s="60"/>
      <c r="D160" s="38"/>
      <c r="E160" s="38"/>
      <c r="F160" s="40"/>
      <c r="G160" s="38"/>
      <c r="H160" s="38"/>
      <c r="I160" s="38"/>
      <c r="J160" s="38"/>
      <c r="K160" s="78"/>
      <c r="L160" s="62"/>
      <c r="M160" s="85"/>
    </row>
    <row r="161" spans="1:13" x14ac:dyDescent="0.2">
      <c r="A161" s="36"/>
      <c r="B161" s="38"/>
      <c r="C161" s="38"/>
      <c r="D161" s="38"/>
      <c r="E161" s="38"/>
      <c r="F161" s="40"/>
      <c r="G161" s="38"/>
      <c r="H161" s="38"/>
      <c r="I161" s="38"/>
      <c r="J161" s="38"/>
      <c r="K161" s="78"/>
      <c r="L161" s="62"/>
      <c r="M161" s="85"/>
    </row>
    <row r="162" spans="1:13" x14ac:dyDescent="0.2">
      <c r="A162" s="36"/>
      <c r="B162" s="38"/>
      <c r="C162" s="38"/>
      <c r="D162" s="38"/>
      <c r="E162" s="38"/>
      <c r="F162" s="59"/>
      <c r="G162" s="59" t="s">
        <v>87</v>
      </c>
      <c r="H162" s="40"/>
      <c r="I162" s="38"/>
      <c r="J162" s="78"/>
      <c r="K162" s="762">
        <f>S2_Ordinary_Rates_Sub_Total+S2_Special_Rates_Sub_Total+S2_Annual_Charges_Sub_Total</f>
        <v>56720696.569452003</v>
      </c>
      <c r="L162" s="763"/>
      <c r="M162" s="45"/>
    </row>
    <row r="163" spans="1:13" x14ac:dyDescent="0.2">
      <c r="A163" s="36"/>
      <c r="B163" s="60"/>
      <c r="C163" s="60"/>
      <c r="D163" s="38"/>
      <c r="E163" s="38"/>
      <c r="F163" s="40"/>
      <c r="G163" s="38"/>
      <c r="H163" s="38"/>
      <c r="I163" s="38"/>
      <c r="J163" s="38"/>
      <c r="K163" s="78"/>
      <c r="L163" s="62"/>
      <c r="M163" s="85"/>
    </row>
    <row r="164" spans="1:13" x14ac:dyDescent="0.2">
      <c r="A164" s="36"/>
      <c r="B164" s="59" t="s">
        <v>310</v>
      </c>
      <c r="C164" s="59"/>
      <c r="D164" s="38"/>
      <c r="E164" s="38"/>
      <c r="F164" s="40"/>
      <c r="G164" s="38"/>
      <c r="H164" s="38"/>
      <c r="I164" s="38"/>
      <c r="J164" s="38"/>
      <c r="K164" s="78"/>
      <c r="L164" s="62"/>
      <c r="M164" s="85"/>
    </row>
    <row r="165" spans="1:13" x14ac:dyDescent="0.2">
      <c r="A165" s="63"/>
      <c r="B165" s="65"/>
      <c r="C165" s="65"/>
      <c r="D165" s="65"/>
      <c r="E165" s="65"/>
      <c r="F165" s="65"/>
      <c r="G165" s="65"/>
      <c r="H165" s="65"/>
      <c r="I165" s="65"/>
      <c r="J165" s="65"/>
      <c r="K165" s="90"/>
      <c r="L165" s="90"/>
      <c r="M165" s="88"/>
    </row>
    <row r="166" spans="1:13" x14ac:dyDescent="0.2">
      <c r="A166" s="21"/>
      <c r="B166" s="21"/>
    </row>
    <row r="167" spans="1:13" x14ac:dyDescent="0.2">
      <c r="A167" s="21"/>
      <c r="B167" s="21"/>
    </row>
    <row r="168" spans="1:13" x14ac:dyDescent="0.2">
      <c r="A168" s="21"/>
      <c r="B168" s="21"/>
    </row>
    <row r="169" spans="1:13" x14ac:dyDescent="0.2">
      <c r="A169" s="21"/>
      <c r="B169" s="21"/>
    </row>
    <row r="170" spans="1:13" x14ac:dyDescent="0.2">
      <c r="A170" s="21"/>
      <c r="B170" s="21"/>
    </row>
    <row r="171" spans="1:13" x14ac:dyDescent="0.2">
      <c r="A171" s="21"/>
      <c r="B171" s="21"/>
    </row>
  </sheetData>
  <sheetProtection password="C234" sheet="1"/>
  <mergeCells count="21">
    <mergeCell ref="C11:K11"/>
    <mergeCell ref="C89:K89"/>
    <mergeCell ref="B152:I152"/>
    <mergeCell ref="B88:F88"/>
    <mergeCell ref="B146:F146"/>
    <mergeCell ref="C147:K147"/>
    <mergeCell ref="B150:I150"/>
    <mergeCell ref="B151:I151"/>
    <mergeCell ref="B2:F2"/>
    <mergeCell ref="B7:L7"/>
    <mergeCell ref="B9:L9"/>
    <mergeCell ref="B4:L4"/>
    <mergeCell ref="B6:L6"/>
    <mergeCell ref="B8:L8"/>
    <mergeCell ref="K162:L162"/>
    <mergeCell ref="B153:I153"/>
    <mergeCell ref="B154:I154"/>
    <mergeCell ref="B155:I155"/>
    <mergeCell ref="B156:I156"/>
    <mergeCell ref="B157:I157"/>
    <mergeCell ref="B158:I158"/>
  </mergeCells>
  <phoneticPr fontId="3" type="noConversion"/>
  <dataValidations xWindow="268" yWindow="584" count="8">
    <dataValidation allowBlank="1" showErrorMessage="1" promptTitle="Note:" prompt="Do not forget to enter base date at the top of this form._x000a_" sqref="K162:L162"/>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3:F141 F15:F34 F36:F60 F62:F71 F73:F82 F84"/>
    <dataValidation allowBlank="1" showInputMessage="1" showErrorMessage="1" promptTitle="Note:" prompt="Total land value includes all rateable parcels including those parcels subject to a minimum." sqref="J93:J141 J15:J34 J36:J60 J62:J71 J73:J82 J84"/>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3:E141 E15:E34 E36:E60 E62:E71 E73:E82 E84"/>
    <dataValidation allowBlank="1" showInputMessage="1" showErrorMessage="1" promptTitle="Note:" prompt="Please enter Minimum, Ad Valorem Rate and Base Amount for this rating category/sub-category on the same row." sqref="H93:H141 H15:H34 H36:H60 H62:H71 H73:H82 H84"/>
    <dataValidation allowBlank="1" showInputMessage="1" showErrorMessage="1" promptTitle="Annual Charges" prompt="Enter in the name of the annual charge and the group of ratepayers the charge is levied on." sqref="B151:I158"/>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15:C34 C36:C60 C62:C71 C73:C82 C84">
      <formula1>NOT(ISBLANK(B15))</formula1>
    </dataValidation>
    <dataValidation type="list" allowBlank="1" showInputMessage="1" showErrorMessage="1" errorTitle="Data Entry Error" error="Please select one of the available options from the drop-down list." promptTitle="Note:" prompt="Select one of the available rating categories from the drop-down list." sqref="B84">
      <formula1>$A$167:$A$170</formula1>
    </dataValidation>
  </dataValidations>
  <printOptions horizontalCentered="1"/>
  <pageMargins left="0.74803149606299213" right="0.74803149606299213" top="0.64" bottom="0.47244094488188981" header="0.19685039370078741" footer="0.31496062992125984"/>
  <pageSetup paperSize="9" scale="87" fitToHeight="0" orientation="landscape" r:id="rId1"/>
  <headerFooter alignWithMargins="0"/>
  <rowBreaks count="2" manualBreakCount="2">
    <brk id="86" max="16383" man="1"/>
    <brk id="14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W174"/>
  <sheetViews>
    <sheetView showGridLines="0" topLeftCell="A90" zoomScale="85" zoomScaleNormal="85" workbookViewId="0">
      <selection activeCell="J102" sqref="J102"/>
    </sheetView>
  </sheetViews>
  <sheetFormatPr defaultRowHeight="12.75" x14ac:dyDescent="0.2"/>
  <cols>
    <col min="1" max="1" width="2.7109375" style="3" customWidth="1"/>
    <col min="2" max="2" width="10.140625" style="3" customWidth="1"/>
    <col min="3" max="3" width="20.140625" style="3" customWidth="1"/>
    <col min="4" max="4" width="17.140625" style="3" customWidth="1"/>
    <col min="5" max="5" width="11.7109375" style="3" customWidth="1"/>
    <col min="6" max="6" width="11.42578125" style="3" customWidth="1"/>
    <col min="7" max="7" width="11.28515625" style="3" customWidth="1"/>
    <col min="8" max="8" width="10.5703125" style="3" customWidth="1"/>
    <col min="9" max="9" width="13.28515625" style="3" customWidth="1"/>
    <col min="10" max="10" width="20.28515625" style="3" customWidth="1"/>
    <col min="11" max="11" width="16.140625" style="22" customWidth="1"/>
    <col min="12" max="12" width="18.7109375" style="22" customWidth="1"/>
    <col min="13" max="13" width="2.7109375" style="3" customWidth="1"/>
    <col min="14" max="14" width="8.140625" style="3" bestFit="1" customWidth="1"/>
    <col min="15" max="16" width="9.140625" style="3" hidden="1" customWidth="1"/>
    <col min="17" max="17" width="5.5703125" style="3" hidden="1" customWidth="1"/>
    <col min="18" max="18" width="5.28515625" style="3" hidden="1" customWidth="1"/>
    <col min="19" max="19" width="7.85546875" style="3" hidden="1" customWidth="1"/>
    <col min="20" max="20" width="8.85546875" style="3" hidden="1" customWidth="1"/>
    <col min="21" max="21" width="7.7109375" style="3" hidden="1" customWidth="1"/>
    <col min="22" max="22" width="8.140625" style="3" hidden="1" customWidth="1"/>
    <col min="23" max="16384" width="9.140625" style="3"/>
  </cols>
  <sheetData>
    <row r="1" spans="1:22" ht="13.5" customHeight="1" x14ac:dyDescent="0.2">
      <c r="A1" s="30"/>
      <c r="B1" s="31"/>
      <c r="C1" s="31"/>
      <c r="D1" s="32"/>
      <c r="E1" s="32"/>
      <c r="F1" s="32"/>
      <c r="G1" s="32"/>
      <c r="H1" s="32"/>
      <c r="I1" s="32"/>
      <c r="J1" s="32"/>
      <c r="K1" s="33"/>
      <c r="L1" s="34"/>
      <c r="M1" s="35"/>
    </row>
    <row r="2" spans="1:22" ht="15.95" customHeight="1" x14ac:dyDescent="0.25">
      <c r="A2" s="36"/>
      <c r="B2" s="767" t="str">
        <f>'WK1 - Identification'!E11</f>
        <v>Shoalhaven City Council</v>
      </c>
      <c r="C2" s="768"/>
      <c r="D2" s="768"/>
      <c r="E2" s="768"/>
      <c r="F2" s="769"/>
      <c r="G2" s="38"/>
      <c r="H2" s="38"/>
      <c r="I2" s="38"/>
      <c r="J2" s="38"/>
      <c r="K2" s="39"/>
      <c r="L2" s="127"/>
      <c r="M2" s="41"/>
    </row>
    <row r="3" spans="1:22" ht="12.75" customHeight="1" x14ac:dyDescent="0.25">
      <c r="A3" s="36"/>
      <c r="B3" s="42"/>
      <c r="C3" s="42"/>
      <c r="D3" s="38"/>
      <c r="E3" s="38"/>
      <c r="F3" s="43"/>
      <c r="G3" s="38"/>
      <c r="H3" s="38"/>
      <c r="I3" s="38"/>
      <c r="J3" s="38"/>
      <c r="K3" s="39"/>
      <c r="L3" s="44"/>
      <c r="M3" s="45"/>
    </row>
    <row r="4" spans="1:22" ht="26.25" x14ac:dyDescent="0.4">
      <c r="A4" s="36"/>
      <c r="B4" s="757" t="s">
        <v>311</v>
      </c>
      <c r="C4" s="757"/>
      <c r="D4" s="757"/>
      <c r="E4" s="757"/>
      <c r="F4" s="757"/>
      <c r="G4" s="757"/>
      <c r="H4" s="757"/>
      <c r="I4" s="757"/>
      <c r="J4" s="757"/>
      <c r="K4" s="757"/>
      <c r="L4" s="757"/>
      <c r="M4" s="46"/>
    </row>
    <row r="5" spans="1:22" ht="12.75" customHeight="1" x14ac:dyDescent="0.2">
      <c r="A5" s="36"/>
      <c r="B5" s="47"/>
      <c r="C5" s="47"/>
      <c r="D5" s="42"/>
      <c r="E5" s="42"/>
      <c r="F5" s="42"/>
      <c r="G5" s="42"/>
      <c r="H5" s="42"/>
      <c r="I5" s="42"/>
      <c r="J5" s="38"/>
      <c r="K5" s="39"/>
      <c r="L5" s="39"/>
      <c r="M5" s="48"/>
    </row>
    <row r="6" spans="1:22" ht="26.25" x14ac:dyDescent="0.4">
      <c r="A6" s="36"/>
      <c r="B6" s="784" t="s">
        <v>641</v>
      </c>
      <c r="C6" s="784"/>
      <c r="D6" s="784"/>
      <c r="E6" s="784"/>
      <c r="F6" s="784"/>
      <c r="G6" s="784"/>
      <c r="H6" s="784"/>
      <c r="I6" s="784"/>
      <c r="J6" s="784"/>
      <c r="K6" s="784"/>
      <c r="L6" s="784"/>
      <c r="M6" s="48"/>
    </row>
    <row r="7" spans="1:22" ht="3.75" customHeight="1" x14ac:dyDescent="0.25">
      <c r="A7" s="36"/>
      <c r="B7" s="49"/>
      <c r="C7" s="49"/>
      <c r="D7" s="50"/>
      <c r="E7" s="50"/>
      <c r="F7" s="322"/>
      <c r="G7" s="322"/>
      <c r="H7" s="323"/>
      <c r="I7" s="323"/>
      <c r="J7" s="38"/>
      <c r="K7" s="39"/>
      <c r="L7" s="39"/>
      <c r="M7" s="45"/>
    </row>
    <row r="8" spans="1:22" ht="102.75" customHeight="1" x14ac:dyDescent="0.2">
      <c r="A8" s="36"/>
      <c r="B8" s="785" t="s">
        <v>880</v>
      </c>
      <c r="C8" s="786"/>
      <c r="D8" s="786"/>
      <c r="E8" s="786"/>
      <c r="F8" s="786"/>
      <c r="G8" s="786"/>
      <c r="H8" s="786"/>
      <c r="I8" s="786"/>
      <c r="J8" s="786"/>
      <c r="K8" s="786"/>
      <c r="L8" s="786"/>
      <c r="M8" s="45"/>
    </row>
    <row r="9" spans="1:22" ht="21.75" customHeight="1" x14ac:dyDescent="0.35">
      <c r="A9" s="36"/>
      <c r="B9" s="192"/>
      <c r="C9" s="774" t="s">
        <v>412</v>
      </c>
      <c r="D9" s="774"/>
      <c r="E9" s="774"/>
      <c r="F9" s="774"/>
      <c r="G9" s="774"/>
      <c r="H9" s="774"/>
      <c r="I9" s="774"/>
      <c r="J9" s="774"/>
      <c r="K9" s="774"/>
      <c r="L9" s="193"/>
      <c r="M9" s="45"/>
    </row>
    <row r="10" spans="1:22" ht="9.75" customHeight="1" x14ac:dyDescent="0.2">
      <c r="A10" s="36"/>
      <c r="B10" s="38"/>
      <c r="C10" s="38"/>
      <c r="D10" s="38"/>
      <c r="E10" s="38"/>
      <c r="F10" s="38"/>
      <c r="G10" s="38"/>
      <c r="H10" s="38"/>
      <c r="I10" s="38"/>
      <c r="J10" s="38"/>
      <c r="K10" s="38"/>
      <c r="L10" s="38"/>
      <c r="M10" s="45"/>
    </row>
    <row r="11" spans="1:22" s="7" customFormat="1" ht="57.75" customHeight="1" x14ac:dyDescent="0.2">
      <c r="A11" s="51"/>
      <c r="B11" s="52" t="s">
        <v>284</v>
      </c>
      <c r="C11" s="52" t="s">
        <v>285</v>
      </c>
      <c r="D11" s="54" t="s">
        <v>339</v>
      </c>
      <c r="E11" s="52" t="s">
        <v>287</v>
      </c>
      <c r="F11" s="52" t="s">
        <v>80</v>
      </c>
      <c r="G11" s="52" t="s">
        <v>288</v>
      </c>
      <c r="H11" s="53" t="s">
        <v>81</v>
      </c>
      <c r="I11" s="52" t="s">
        <v>289</v>
      </c>
      <c r="J11" s="54" t="s">
        <v>88</v>
      </c>
      <c r="K11" s="55" t="s">
        <v>291</v>
      </c>
      <c r="L11" s="430" t="s">
        <v>515</v>
      </c>
      <c r="M11" s="56"/>
    </row>
    <row r="12" spans="1:22" s="7" customFormat="1" ht="12.75" hidden="1" customHeight="1" x14ac:dyDescent="0.2">
      <c r="A12" s="8"/>
      <c r="B12" s="9" t="s">
        <v>292</v>
      </c>
      <c r="C12" s="9" t="s">
        <v>293</v>
      </c>
      <c r="D12" s="9" t="s">
        <v>294</v>
      </c>
      <c r="E12" s="9" t="s">
        <v>295</v>
      </c>
      <c r="F12" s="9" t="s">
        <v>296</v>
      </c>
      <c r="G12" s="10"/>
      <c r="H12" s="11" t="s">
        <v>297</v>
      </c>
      <c r="I12" s="9" t="s">
        <v>298</v>
      </c>
      <c r="J12" s="12" t="s">
        <v>299</v>
      </c>
      <c r="K12" s="12" t="s">
        <v>300</v>
      </c>
      <c r="L12" s="13" t="s">
        <v>301</v>
      </c>
      <c r="M12" s="14"/>
      <c r="O12" s="7" t="s">
        <v>292</v>
      </c>
      <c r="P12" s="7" t="s">
        <v>296</v>
      </c>
      <c r="Q12" s="7" t="s">
        <v>292</v>
      </c>
      <c r="R12" s="7" t="s">
        <v>296</v>
      </c>
      <c r="S12" s="7" t="s">
        <v>292</v>
      </c>
      <c r="T12" s="7" t="s">
        <v>296</v>
      </c>
      <c r="U12" s="7" t="s">
        <v>292</v>
      </c>
      <c r="V12" s="7" t="s">
        <v>296</v>
      </c>
    </row>
    <row r="13" spans="1:22" x14ac:dyDescent="0.2">
      <c r="A13" s="36"/>
      <c r="B13" s="619" t="s">
        <v>304</v>
      </c>
      <c r="C13" s="16"/>
      <c r="D13" s="17">
        <v>51528</v>
      </c>
      <c r="E13" s="18">
        <v>0.22797000000000001</v>
      </c>
      <c r="F13" s="17">
        <v>495.28</v>
      </c>
      <c r="G13" s="57">
        <f>IF(F13="","",D13*F13/L13)</f>
        <v>0.49999540972230477</v>
      </c>
      <c r="H13" s="17"/>
      <c r="I13" s="17"/>
      <c r="J13" s="713">
        <v>11195006551</v>
      </c>
      <c r="K13" s="19"/>
      <c r="L13" s="58">
        <f>IF(D13="","",IF(F13&lt;&gt;"",F13*D13+J13*(E13/100),(J13-K13)*(E13/100)+H13*I13))</f>
        <v>51042044.274314702</v>
      </c>
      <c r="M13" s="45"/>
      <c r="O13" s="3" t="s">
        <v>302</v>
      </c>
      <c r="P13" s="3" t="s">
        <v>303</v>
      </c>
      <c r="Q13" s="3" t="s">
        <v>304</v>
      </c>
      <c r="R13" s="3" t="s">
        <v>303</v>
      </c>
      <c r="S13" s="3" t="s">
        <v>305</v>
      </c>
      <c r="T13" s="3" t="s">
        <v>303</v>
      </c>
      <c r="U13" s="3" t="s">
        <v>306</v>
      </c>
      <c r="V13" s="3" t="s">
        <v>303</v>
      </c>
    </row>
    <row r="14" spans="1:22" x14ac:dyDescent="0.2">
      <c r="A14" s="36"/>
      <c r="B14" s="619" t="s">
        <v>304</v>
      </c>
      <c r="C14" s="16" t="s">
        <v>935</v>
      </c>
      <c r="D14" s="17">
        <v>1103</v>
      </c>
      <c r="E14" s="18">
        <v>0.125</v>
      </c>
      <c r="F14" s="17">
        <v>34.328139999999998</v>
      </c>
      <c r="G14" s="57">
        <f t="shared" ref="G14:G32" si="0">IF(F14="","",D14*F14/L14)</f>
        <v>0.50000495806483403</v>
      </c>
      <c r="H14" s="17"/>
      <c r="I14" s="17"/>
      <c r="J14" s="713">
        <v>30290550</v>
      </c>
      <c r="K14" s="19"/>
      <c r="L14" s="58">
        <f t="shared" ref="L14:L32" si="1">IF(D14="","",IF(F14&lt;&gt;"",F14*D14+J14*(E14/100),(J14-K14)*(E14/100)+H14*I14))</f>
        <v>75727.125919999991</v>
      </c>
      <c r="M14" s="45"/>
    </row>
    <row r="15" spans="1:22" x14ac:dyDescent="0.2">
      <c r="A15" s="36"/>
      <c r="B15" s="619" t="s">
        <v>304</v>
      </c>
      <c r="C15" s="16"/>
      <c r="D15" s="17"/>
      <c r="E15" s="18"/>
      <c r="F15" s="17"/>
      <c r="G15" s="57" t="str">
        <f t="shared" si="0"/>
        <v/>
      </c>
      <c r="H15" s="17"/>
      <c r="I15" s="17"/>
      <c r="J15" s="19"/>
      <c r="K15" s="19"/>
      <c r="L15" s="58" t="str">
        <f t="shared" si="1"/>
        <v/>
      </c>
      <c r="M15" s="45"/>
    </row>
    <row r="16" spans="1:22" x14ac:dyDescent="0.2">
      <c r="A16" s="36"/>
      <c r="B16" s="619" t="s">
        <v>304</v>
      </c>
      <c r="C16" s="16"/>
      <c r="D16" s="17"/>
      <c r="E16" s="18"/>
      <c r="F16" s="17"/>
      <c r="G16" s="57" t="str">
        <f t="shared" si="0"/>
        <v/>
      </c>
      <c r="H16" s="17"/>
      <c r="I16" s="17"/>
      <c r="J16" s="19"/>
      <c r="K16" s="19"/>
      <c r="L16" s="58" t="str">
        <f t="shared" si="1"/>
        <v/>
      </c>
      <c r="M16" s="45"/>
    </row>
    <row r="17" spans="1:13" x14ac:dyDescent="0.2">
      <c r="A17" s="36"/>
      <c r="B17" s="619" t="s">
        <v>304</v>
      </c>
      <c r="C17" s="16"/>
      <c r="D17" s="17"/>
      <c r="E17" s="18"/>
      <c r="F17" s="17"/>
      <c r="G17" s="57" t="str">
        <f t="shared" si="0"/>
        <v/>
      </c>
      <c r="H17" s="17"/>
      <c r="I17" s="17"/>
      <c r="J17" s="19"/>
      <c r="K17" s="19"/>
      <c r="L17" s="58" t="str">
        <f t="shared" si="1"/>
        <v/>
      </c>
      <c r="M17" s="45"/>
    </row>
    <row r="18" spans="1:13" x14ac:dyDescent="0.2">
      <c r="A18" s="36"/>
      <c r="B18" s="619" t="s">
        <v>304</v>
      </c>
      <c r="C18" s="16"/>
      <c r="D18" s="17"/>
      <c r="E18" s="18"/>
      <c r="F18" s="17"/>
      <c r="G18" s="57" t="str">
        <f t="shared" si="0"/>
        <v/>
      </c>
      <c r="H18" s="17"/>
      <c r="I18" s="17"/>
      <c r="J18" s="19"/>
      <c r="K18" s="19"/>
      <c r="L18" s="58" t="str">
        <f t="shared" si="1"/>
        <v/>
      </c>
      <c r="M18" s="45"/>
    </row>
    <row r="19" spans="1:13" x14ac:dyDescent="0.2">
      <c r="A19" s="36"/>
      <c r="B19" s="619" t="s">
        <v>304</v>
      </c>
      <c r="C19" s="16"/>
      <c r="D19" s="17"/>
      <c r="E19" s="18"/>
      <c r="F19" s="17"/>
      <c r="G19" s="57" t="str">
        <f t="shared" si="0"/>
        <v/>
      </c>
      <c r="H19" s="17"/>
      <c r="I19" s="17"/>
      <c r="J19" s="19"/>
      <c r="K19" s="19"/>
      <c r="L19" s="58" t="str">
        <f t="shared" si="1"/>
        <v/>
      </c>
      <c r="M19" s="45"/>
    </row>
    <row r="20" spans="1:13" x14ac:dyDescent="0.2">
      <c r="A20" s="36"/>
      <c r="B20" s="619" t="s">
        <v>304</v>
      </c>
      <c r="C20" s="16"/>
      <c r="D20" s="17"/>
      <c r="E20" s="18"/>
      <c r="F20" s="17"/>
      <c r="G20" s="57" t="str">
        <f t="shared" si="0"/>
        <v/>
      </c>
      <c r="H20" s="17"/>
      <c r="I20" s="17"/>
      <c r="J20" s="19"/>
      <c r="K20" s="19"/>
      <c r="L20" s="58" t="str">
        <f t="shared" si="1"/>
        <v/>
      </c>
      <c r="M20" s="45"/>
    </row>
    <row r="21" spans="1:13" x14ac:dyDescent="0.2">
      <c r="A21" s="36"/>
      <c r="B21" s="619" t="s">
        <v>304</v>
      </c>
      <c r="C21" s="16"/>
      <c r="D21" s="17"/>
      <c r="E21" s="18"/>
      <c r="F21" s="17"/>
      <c r="G21" s="57" t="str">
        <f t="shared" si="0"/>
        <v/>
      </c>
      <c r="H21" s="17"/>
      <c r="I21" s="17"/>
      <c r="J21" s="19"/>
      <c r="K21" s="19"/>
      <c r="L21" s="58" t="str">
        <f t="shared" si="1"/>
        <v/>
      </c>
      <c r="M21" s="45"/>
    </row>
    <row r="22" spans="1:13" x14ac:dyDescent="0.2">
      <c r="A22" s="36"/>
      <c r="B22" s="619" t="s">
        <v>304</v>
      </c>
      <c r="C22" s="16"/>
      <c r="D22" s="17"/>
      <c r="E22" s="18"/>
      <c r="F22" s="17"/>
      <c r="G22" s="57" t="str">
        <f t="shared" si="0"/>
        <v/>
      </c>
      <c r="H22" s="17"/>
      <c r="I22" s="17"/>
      <c r="J22" s="19"/>
      <c r="K22" s="19"/>
      <c r="L22" s="58" t="str">
        <f t="shared" si="1"/>
        <v/>
      </c>
      <c r="M22" s="45"/>
    </row>
    <row r="23" spans="1:13" x14ac:dyDescent="0.2">
      <c r="A23" s="36"/>
      <c r="B23" s="619" t="s">
        <v>304</v>
      </c>
      <c r="C23" s="16"/>
      <c r="D23" s="17"/>
      <c r="E23" s="18"/>
      <c r="F23" s="17"/>
      <c r="G23" s="57" t="str">
        <f t="shared" si="0"/>
        <v/>
      </c>
      <c r="H23" s="17"/>
      <c r="I23" s="17"/>
      <c r="J23" s="19"/>
      <c r="K23" s="19"/>
      <c r="L23" s="58" t="str">
        <f t="shared" si="1"/>
        <v/>
      </c>
      <c r="M23" s="45"/>
    </row>
    <row r="24" spans="1:13" x14ac:dyDescent="0.2">
      <c r="A24" s="36"/>
      <c r="B24" s="619" t="s">
        <v>304</v>
      </c>
      <c r="C24" s="16"/>
      <c r="D24" s="17"/>
      <c r="E24" s="18"/>
      <c r="F24" s="17"/>
      <c r="G24" s="57" t="str">
        <f t="shared" si="0"/>
        <v/>
      </c>
      <c r="H24" s="17"/>
      <c r="I24" s="17"/>
      <c r="J24" s="19"/>
      <c r="K24" s="19"/>
      <c r="L24" s="58" t="str">
        <f t="shared" si="1"/>
        <v/>
      </c>
      <c r="M24" s="45"/>
    </row>
    <row r="25" spans="1:13" x14ac:dyDescent="0.2">
      <c r="A25" s="36"/>
      <c r="B25" s="619" t="s">
        <v>304</v>
      </c>
      <c r="C25" s="16"/>
      <c r="D25" s="17"/>
      <c r="E25" s="18"/>
      <c r="F25" s="17"/>
      <c r="G25" s="57" t="str">
        <f t="shared" si="0"/>
        <v/>
      </c>
      <c r="H25" s="17"/>
      <c r="I25" s="17"/>
      <c r="J25" s="19"/>
      <c r="K25" s="19"/>
      <c r="L25" s="58" t="str">
        <f t="shared" si="1"/>
        <v/>
      </c>
      <c r="M25" s="45"/>
    </row>
    <row r="26" spans="1:13" x14ac:dyDescent="0.2">
      <c r="A26" s="36"/>
      <c r="B26" s="619" t="s">
        <v>304</v>
      </c>
      <c r="C26" s="16"/>
      <c r="D26" s="17"/>
      <c r="E26" s="18"/>
      <c r="F26" s="17"/>
      <c r="G26" s="57" t="str">
        <f t="shared" si="0"/>
        <v/>
      </c>
      <c r="H26" s="17"/>
      <c r="I26" s="17"/>
      <c r="J26" s="19"/>
      <c r="K26" s="19"/>
      <c r="L26" s="58" t="str">
        <f t="shared" si="1"/>
        <v/>
      </c>
      <c r="M26" s="45"/>
    </row>
    <row r="27" spans="1:13" x14ac:dyDescent="0.2">
      <c r="A27" s="36"/>
      <c r="B27" s="619" t="s">
        <v>304</v>
      </c>
      <c r="C27" s="16"/>
      <c r="D27" s="17"/>
      <c r="E27" s="18"/>
      <c r="F27" s="17"/>
      <c r="G27" s="57" t="str">
        <f t="shared" si="0"/>
        <v/>
      </c>
      <c r="H27" s="17"/>
      <c r="I27" s="17"/>
      <c r="J27" s="19"/>
      <c r="K27" s="19"/>
      <c r="L27" s="58" t="str">
        <f t="shared" si="1"/>
        <v/>
      </c>
      <c r="M27" s="45"/>
    </row>
    <row r="28" spans="1:13" x14ac:dyDescent="0.2">
      <c r="A28" s="36"/>
      <c r="B28" s="619" t="s">
        <v>304</v>
      </c>
      <c r="C28" s="16"/>
      <c r="D28" s="17"/>
      <c r="E28" s="18"/>
      <c r="F28" s="17"/>
      <c r="G28" s="57" t="str">
        <f t="shared" si="0"/>
        <v/>
      </c>
      <c r="H28" s="17"/>
      <c r="I28" s="17"/>
      <c r="J28" s="19"/>
      <c r="K28" s="19"/>
      <c r="L28" s="58" t="str">
        <f t="shared" si="1"/>
        <v/>
      </c>
      <c r="M28" s="45"/>
    </row>
    <row r="29" spans="1:13" x14ac:dyDescent="0.2">
      <c r="A29" s="36"/>
      <c r="B29" s="619" t="s">
        <v>304</v>
      </c>
      <c r="C29" s="16"/>
      <c r="D29" s="17"/>
      <c r="E29" s="18"/>
      <c r="F29" s="17"/>
      <c r="G29" s="57" t="str">
        <f t="shared" si="0"/>
        <v/>
      </c>
      <c r="H29" s="17"/>
      <c r="I29" s="17"/>
      <c r="J29" s="19"/>
      <c r="K29" s="19"/>
      <c r="L29" s="58" t="str">
        <f t="shared" si="1"/>
        <v/>
      </c>
      <c r="M29" s="45"/>
    </row>
    <row r="30" spans="1:13" x14ac:dyDescent="0.2">
      <c r="A30" s="36"/>
      <c r="B30" s="619" t="s">
        <v>304</v>
      </c>
      <c r="C30" s="16"/>
      <c r="D30" s="17"/>
      <c r="E30" s="18"/>
      <c r="F30" s="17"/>
      <c r="G30" s="57" t="str">
        <f t="shared" si="0"/>
        <v/>
      </c>
      <c r="H30" s="17"/>
      <c r="I30" s="17"/>
      <c r="J30" s="19"/>
      <c r="K30" s="19"/>
      <c r="L30" s="58" t="str">
        <f t="shared" si="1"/>
        <v/>
      </c>
      <c r="M30" s="45"/>
    </row>
    <row r="31" spans="1:13" x14ac:dyDescent="0.2">
      <c r="A31" s="36"/>
      <c r="B31" s="619" t="s">
        <v>304</v>
      </c>
      <c r="C31" s="16"/>
      <c r="D31" s="17"/>
      <c r="E31" s="18"/>
      <c r="F31" s="17"/>
      <c r="G31" s="57" t="str">
        <f t="shared" si="0"/>
        <v/>
      </c>
      <c r="H31" s="17"/>
      <c r="I31" s="17"/>
      <c r="J31" s="19"/>
      <c r="K31" s="19"/>
      <c r="L31" s="58" t="str">
        <f t="shared" si="1"/>
        <v/>
      </c>
      <c r="M31" s="45"/>
    </row>
    <row r="32" spans="1:13" x14ac:dyDescent="0.2">
      <c r="A32" s="36"/>
      <c r="B32" s="619" t="s">
        <v>304</v>
      </c>
      <c r="C32" s="16"/>
      <c r="D32" s="17"/>
      <c r="E32" s="18"/>
      <c r="F32" s="17"/>
      <c r="G32" s="57" t="str">
        <f t="shared" si="0"/>
        <v/>
      </c>
      <c r="H32" s="17"/>
      <c r="I32" s="17"/>
      <c r="J32" s="19"/>
      <c r="K32" s="19"/>
      <c r="L32" s="58" t="str">
        <f t="shared" si="1"/>
        <v/>
      </c>
      <c r="M32" s="45"/>
    </row>
    <row r="33" spans="1:14" s="536" customFormat="1" x14ac:dyDescent="0.2">
      <c r="A33" s="532"/>
      <c r="B33" s="533"/>
      <c r="C33" s="533" t="s">
        <v>655</v>
      </c>
      <c r="D33" s="702">
        <f>SUM(D13:D32)</f>
        <v>52631</v>
      </c>
      <c r="E33" s="533"/>
      <c r="F33" s="533"/>
      <c r="G33" s="533"/>
      <c r="H33" s="533"/>
      <c r="I33" s="533">
        <f>SUM(I13:I32)</f>
        <v>0</v>
      </c>
      <c r="J33" s="533">
        <f>SUM(J13:J32)</f>
        <v>11225297101</v>
      </c>
      <c r="K33" s="533">
        <f>SUM(K13:K32)</f>
        <v>0</v>
      </c>
      <c r="L33" s="533">
        <f>SUM(L13:L32)</f>
        <v>51117771.400234699</v>
      </c>
      <c r="M33" s="534"/>
      <c r="N33" s="535"/>
    </row>
    <row r="34" spans="1:14" x14ac:dyDescent="0.2">
      <c r="A34" s="36"/>
      <c r="B34" s="619" t="s">
        <v>306</v>
      </c>
      <c r="C34" s="16"/>
      <c r="D34" s="17">
        <v>175</v>
      </c>
      <c r="E34" s="18">
        <v>0.29881999999999997</v>
      </c>
      <c r="F34" s="17">
        <v>0</v>
      </c>
      <c r="G34" s="57">
        <f t="shared" ref="G34:G82" si="2">IF(F34="","",D34*F34/L34)</f>
        <v>0</v>
      </c>
      <c r="H34" s="17"/>
      <c r="I34" s="17"/>
      <c r="J34" s="713">
        <v>2175140</v>
      </c>
      <c r="K34" s="19"/>
      <c r="L34" s="58">
        <f t="shared" ref="L34:L82" si="3">IF(D34="","",IF(F34&lt;&gt;"",F34*D34+J34*(E34/100),(J34-K34)*(E34/100)+H34*I34))</f>
        <v>6499.7533480000002</v>
      </c>
      <c r="M34" s="45"/>
    </row>
    <row r="35" spans="1:14" x14ac:dyDescent="0.2">
      <c r="A35" s="36"/>
      <c r="B35" s="619" t="s">
        <v>306</v>
      </c>
      <c r="C35" s="16" t="s">
        <v>936</v>
      </c>
      <c r="D35" s="17">
        <v>1572</v>
      </c>
      <c r="E35" s="18">
        <v>0.31614999999999999</v>
      </c>
      <c r="F35" s="17">
        <f>+F13</f>
        <v>495.28</v>
      </c>
      <c r="G35" s="57">
        <f t="shared" si="2"/>
        <v>0.29194309858821449</v>
      </c>
      <c r="H35" s="17"/>
      <c r="I35" s="17"/>
      <c r="J35" s="713">
        <v>597282917</v>
      </c>
      <c r="K35" s="19"/>
      <c r="L35" s="58">
        <f t="shared" si="3"/>
        <v>2666890.1020954996</v>
      </c>
      <c r="M35" s="45"/>
    </row>
    <row r="36" spans="1:14" x14ac:dyDescent="0.2">
      <c r="A36" s="36"/>
      <c r="B36" s="619" t="s">
        <v>306</v>
      </c>
      <c r="C36" s="16" t="s">
        <v>937</v>
      </c>
      <c r="D36" s="17">
        <v>356</v>
      </c>
      <c r="E36" s="18">
        <v>1.02427</v>
      </c>
      <c r="F36" s="17">
        <f>+F35</f>
        <v>495.28</v>
      </c>
      <c r="G36" s="57">
        <f t="shared" si="2"/>
        <v>9.668922276892615E-2</v>
      </c>
      <c r="H36" s="17"/>
      <c r="I36" s="17"/>
      <c r="J36" s="713">
        <v>160822000</v>
      </c>
      <c r="K36" s="19"/>
      <c r="L36" s="58">
        <f t="shared" si="3"/>
        <v>1823571.1794</v>
      </c>
      <c r="M36" s="45"/>
    </row>
    <row r="37" spans="1:14" x14ac:dyDescent="0.2">
      <c r="A37" s="36"/>
      <c r="B37" s="619" t="s">
        <v>306</v>
      </c>
      <c r="C37" s="16" t="s">
        <v>938</v>
      </c>
      <c r="D37" s="17">
        <v>128</v>
      </c>
      <c r="E37" s="18">
        <v>0.48909000000000002</v>
      </c>
      <c r="F37" s="17">
        <f>+F36</f>
        <v>495.28</v>
      </c>
      <c r="G37" s="57">
        <f t="shared" si="2"/>
        <v>0.16174294830802838</v>
      </c>
      <c r="H37" s="17"/>
      <c r="I37" s="17"/>
      <c r="J37" s="713">
        <v>67177500</v>
      </c>
      <c r="K37" s="19"/>
      <c r="L37" s="58">
        <f t="shared" si="3"/>
        <v>391954.27474999998</v>
      </c>
      <c r="M37" s="45"/>
    </row>
    <row r="38" spans="1:14" x14ac:dyDescent="0.2">
      <c r="A38" s="36"/>
      <c r="B38" s="619" t="s">
        <v>306</v>
      </c>
      <c r="C38" s="16" t="s">
        <v>939</v>
      </c>
      <c r="D38" s="17">
        <v>96</v>
      </c>
      <c r="E38" s="18">
        <v>3.2649999999999998E-2</v>
      </c>
      <c r="F38" s="17">
        <v>0</v>
      </c>
      <c r="G38" s="57">
        <f t="shared" si="2"/>
        <v>0</v>
      </c>
      <c r="H38" s="17"/>
      <c r="I38" s="17"/>
      <c r="J38" s="713">
        <v>36344102</v>
      </c>
      <c r="K38" s="19"/>
      <c r="L38" s="58">
        <f t="shared" si="3"/>
        <v>11866.349302999999</v>
      </c>
      <c r="M38" s="45"/>
    </row>
    <row r="39" spans="1:14" x14ac:dyDescent="0.2">
      <c r="A39" s="36"/>
      <c r="B39" s="619" t="s">
        <v>306</v>
      </c>
      <c r="C39" s="415"/>
      <c r="D39" s="17"/>
      <c r="E39" s="18"/>
      <c r="F39" s="17"/>
      <c r="G39" s="57" t="str">
        <f t="shared" si="2"/>
        <v/>
      </c>
      <c r="H39" s="17"/>
      <c r="I39" s="17"/>
      <c r="J39" s="19"/>
      <c r="K39" s="19"/>
      <c r="L39" s="58" t="str">
        <f t="shared" si="3"/>
        <v/>
      </c>
      <c r="M39" s="45"/>
    </row>
    <row r="40" spans="1:14" x14ac:dyDescent="0.2">
      <c r="A40" s="36"/>
      <c r="B40" s="619" t="s">
        <v>306</v>
      </c>
      <c r="C40" s="415"/>
      <c r="D40" s="17"/>
      <c r="E40" s="18"/>
      <c r="F40" s="17"/>
      <c r="G40" s="57" t="str">
        <f t="shared" si="2"/>
        <v/>
      </c>
      <c r="H40" s="17"/>
      <c r="I40" s="17"/>
      <c r="J40" s="19"/>
      <c r="K40" s="19"/>
      <c r="L40" s="58" t="str">
        <f t="shared" si="3"/>
        <v/>
      </c>
      <c r="M40" s="45"/>
    </row>
    <row r="41" spans="1:14" x14ac:dyDescent="0.2">
      <c r="A41" s="36"/>
      <c r="B41" s="619" t="s">
        <v>306</v>
      </c>
      <c r="C41" s="415"/>
      <c r="D41" s="17"/>
      <c r="E41" s="18"/>
      <c r="F41" s="17"/>
      <c r="G41" s="57" t="str">
        <f t="shared" si="2"/>
        <v/>
      </c>
      <c r="H41" s="17"/>
      <c r="I41" s="17"/>
      <c r="J41" s="19"/>
      <c r="K41" s="19"/>
      <c r="L41" s="58" t="str">
        <f t="shared" si="3"/>
        <v/>
      </c>
      <c r="M41" s="45"/>
    </row>
    <row r="42" spans="1:14" x14ac:dyDescent="0.2">
      <c r="A42" s="36"/>
      <c r="B42" s="619" t="s">
        <v>306</v>
      </c>
      <c r="C42" s="415"/>
      <c r="D42" s="17"/>
      <c r="E42" s="18"/>
      <c r="F42" s="17"/>
      <c r="G42" s="57" t="str">
        <f t="shared" si="2"/>
        <v/>
      </c>
      <c r="H42" s="17"/>
      <c r="I42" s="17"/>
      <c r="J42" s="19"/>
      <c r="K42" s="19"/>
      <c r="L42" s="58" t="str">
        <f t="shared" si="3"/>
        <v/>
      </c>
      <c r="M42" s="45"/>
    </row>
    <row r="43" spans="1:14" x14ac:dyDescent="0.2">
      <c r="A43" s="36"/>
      <c r="B43" s="619" t="s">
        <v>306</v>
      </c>
      <c r="C43" s="415"/>
      <c r="D43" s="17"/>
      <c r="E43" s="18"/>
      <c r="F43" s="17"/>
      <c r="G43" s="57" t="str">
        <f t="shared" si="2"/>
        <v/>
      </c>
      <c r="H43" s="17"/>
      <c r="I43" s="17"/>
      <c r="J43" s="19"/>
      <c r="K43" s="19"/>
      <c r="L43" s="58" t="str">
        <f t="shared" si="3"/>
        <v/>
      </c>
      <c r="M43" s="45"/>
    </row>
    <row r="44" spans="1:14" x14ac:dyDescent="0.2">
      <c r="A44" s="36"/>
      <c r="B44" s="619" t="s">
        <v>306</v>
      </c>
      <c r="C44" s="415"/>
      <c r="D44" s="17"/>
      <c r="E44" s="18"/>
      <c r="F44" s="17"/>
      <c r="G44" s="57" t="str">
        <f t="shared" si="2"/>
        <v/>
      </c>
      <c r="H44" s="17"/>
      <c r="I44" s="17"/>
      <c r="J44" s="19"/>
      <c r="K44" s="19"/>
      <c r="L44" s="58" t="str">
        <f t="shared" si="3"/>
        <v/>
      </c>
      <c r="M44" s="45"/>
    </row>
    <row r="45" spans="1:14" x14ac:dyDescent="0.2">
      <c r="A45" s="36"/>
      <c r="B45" s="619" t="s">
        <v>306</v>
      </c>
      <c r="C45" s="415"/>
      <c r="D45" s="17"/>
      <c r="E45" s="18"/>
      <c r="F45" s="17"/>
      <c r="G45" s="57" t="str">
        <f t="shared" si="2"/>
        <v/>
      </c>
      <c r="H45" s="17"/>
      <c r="I45" s="17"/>
      <c r="J45" s="19"/>
      <c r="K45" s="19"/>
      <c r="L45" s="58" t="str">
        <f t="shared" si="3"/>
        <v/>
      </c>
      <c r="M45" s="45"/>
    </row>
    <row r="46" spans="1:14" x14ac:dyDescent="0.2">
      <c r="A46" s="36"/>
      <c r="B46" s="619" t="s">
        <v>306</v>
      </c>
      <c r="C46" s="415"/>
      <c r="D46" s="17"/>
      <c r="E46" s="18"/>
      <c r="F46" s="17"/>
      <c r="G46" s="57" t="str">
        <f t="shared" si="2"/>
        <v/>
      </c>
      <c r="H46" s="17"/>
      <c r="I46" s="17"/>
      <c r="J46" s="19"/>
      <c r="K46" s="19"/>
      <c r="L46" s="58" t="str">
        <f t="shared" si="3"/>
        <v/>
      </c>
      <c r="M46" s="45"/>
    </row>
    <row r="47" spans="1:14" x14ac:dyDescent="0.2">
      <c r="A47" s="36"/>
      <c r="B47" s="619" t="s">
        <v>306</v>
      </c>
      <c r="C47" s="415"/>
      <c r="D47" s="17"/>
      <c r="E47" s="18"/>
      <c r="F47" s="17"/>
      <c r="G47" s="57" t="str">
        <f t="shared" si="2"/>
        <v/>
      </c>
      <c r="H47" s="17"/>
      <c r="I47" s="17"/>
      <c r="J47" s="19"/>
      <c r="K47" s="19"/>
      <c r="L47" s="58" t="str">
        <f t="shared" si="3"/>
        <v/>
      </c>
      <c r="M47" s="45"/>
    </row>
    <row r="48" spans="1:14" x14ac:dyDescent="0.2">
      <c r="A48" s="36"/>
      <c r="B48" s="619" t="s">
        <v>306</v>
      </c>
      <c r="C48" s="415"/>
      <c r="D48" s="17"/>
      <c r="E48" s="18"/>
      <c r="F48" s="17"/>
      <c r="G48" s="57" t="str">
        <f t="shared" si="2"/>
        <v/>
      </c>
      <c r="H48" s="17"/>
      <c r="I48" s="17"/>
      <c r="J48" s="19"/>
      <c r="K48" s="19"/>
      <c r="L48" s="58" t="str">
        <f t="shared" si="3"/>
        <v/>
      </c>
      <c r="M48" s="45"/>
    </row>
    <row r="49" spans="1:13" x14ac:dyDescent="0.2">
      <c r="A49" s="36"/>
      <c r="B49" s="619" t="s">
        <v>306</v>
      </c>
      <c r="C49" s="415"/>
      <c r="D49" s="17"/>
      <c r="E49" s="18"/>
      <c r="F49" s="17"/>
      <c r="G49" s="57" t="str">
        <f t="shared" si="2"/>
        <v/>
      </c>
      <c r="H49" s="17"/>
      <c r="I49" s="17"/>
      <c r="J49" s="19"/>
      <c r="K49" s="19"/>
      <c r="L49" s="58" t="str">
        <f t="shared" si="3"/>
        <v/>
      </c>
      <c r="M49" s="45"/>
    </row>
    <row r="50" spans="1:13" x14ac:dyDescent="0.2">
      <c r="A50" s="36"/>
      <c r="B50" s="619" t="s">
        <v>306</v>
      </c>
      <c r="C50" s="415"/>
      <c r="D50" s="17"/>
      <c r="E50" s="18"/>
      <c r="F50" s="17"/>
      <c r="G50" s="57" t="str">
        <f t="shared" si="2"/>
        <v/>
      </c>
      <c r="H50" s="17"/>
      <c r="I50" s="17"/>
      <c r="J50" s="19"/>
      <c r="K50" s="19"/>
      <c r="L50" s="58" t="str">
        <f t="shared" si="3"/>
        <v/>
      </c>
      <c r="M50" s="45"/>
    </row>
    <row r="51" spans="1:13" x14ac:dyDescent="0.2">
      <c r="A51" s="36"/>
      <c r="B51" s="619" t="s">
        <v>306</v>
      </c>
      <c r="C51" s="415"/>
      <c r="D51" s="17"/>
      <c r="E51" s="18"/>
      <c r="F51" s="17"/>
      <c r="G51" s="57" t="str">
        <f t="shared" si="2"/>
        <v/>
      </c>
      <c r="H51" s="17"/>
      <c r="I51" s="17"/>
      <c r="J51" s="19"/>
      <c r="K51" s="19"/>
      <c r="L51" s="58" t="str">
        <f t="shared" si="3"/>
        <v/>
      </c>
      <c r="M51" s="45"/>
    </row>
    <row r="52" spans="1:13" x14ac:dyDescent="0.2">
      <c r="A52" s="36"/>
      <c r="B52" s="619" t="s">
        <v>306</v>
      </c>
      <c r="C52" s="415"/>
      <c r="D52" s="17"/>
      <c r="E52" s="18"/>
      <c r="F52" s="17"/>
      <c r="G52" s="57" t="str">
        <f t="shared" si="2"/>
        <v/>
      </c>
      <c r="H52" s="17"/>
      <c r="I52" s="17"/>
      <c r="J52" s="19"/>
      <c r="K52" s="19"/>
      <c r="L52" s="58" t="str">
        <f t="shared" si="3"/>
        <v/>
      </c>
      <c r="M52" s="45"/>
    </row>
    <row r="53" spans="1:13" x14ac:dyDescent="0.2">
      <c r="A53" s="36"/>
      <c r="B53" s="619" t="s">
        <v>306</v>
      </c>
      <c r="C53" s="415"/>
      <c r="D53" s="17"/>
      <c r="E53" s="18"/>
      <c r="F53" s="17"/>
      <c r="G53" s="57" t="str">
        <f t="shared" si="2"/>
        <v/>
      </c>
      <c r="H53" s="17"/>
      <c r="I53" s="17"/>
      <c r="J53" s="19"/>
      <c r="K53" s="19"/>
      <c r="L53" s="58" t="str">
        <f t="shared" si="3"/>
        <v/>
      </c>
      <c r="M53" s="45"/>
    </row>
    <row r="54" spans="1:13" x14ac:dyDescent="0.2">
      <c r="A54" s="36"/>
      <c r="B54" s="619" t="s">
        <v>306</v>
      </c>
      <c r="C54" s="415"/>
      <c r="D54" s="17"/>
      <c r="E54" s="18"/>
      <c r="F54" s="17"/>
      <c r="G54" s="57" t="str">
        <f t="shared" si="2"/>
        <v/>
      </c>
      <c r="H54" s="17"/>
      <c r="I54" s="17"/>
      <c r="J54" s="19"/>
      <c r="K54" s="19"/>
      <c r="L54" s="58" t="str">
        <f t="shared" si="3"/>
        <v/>
      </c>
      <c r="M54" s="45"/>
    </row>
    <row r="55" spans="1:13" x14ac:dyDescent="0.2">
      <c r="A55" s="36"/>
      <c r="B55" s="619" t="s">
        <v>306</v>
      </c>
      <c r="C55" s="415"/>
      <c r="D55" s="17"/>
      <c r="E55" s="18"/>
      <c r="F55" s="17"/>
      <c r="G55" s="57" t="str">
        <f t="shared" si="2"/>
        <v/>
      </c>
      <c r="H55" s="17"/>
      <c r="I55" s="17"/>
      <c r="J55" s="19"/>
      <c r="K55" s="19"/>
      <c r="L55" s="58" t="str">
        <f t="shared" si="3"/>
        <v/>
      </c>
      <c r="M55" s="45"/>
    </row>
    <row r="56" spans="1:13" x14ac:dyDescent="0.2">
      <c r="A56" s="36"/>
      <c r="B56" s="619" t="s">
        <v>306</v>
      </c>
      <c r="C56" s="415"/>
      <c r="D56" s="17"/>
      <c r="E56" s="18"/>
      <c r="F56" s="17"/>
      <c r="G56" s="57" t="str">
        <f t="shared" si="2"/>
        <v/>
      </c>
      <c r="H56" s="17"/>
      <c r="I56" s="17"/>
      <c r="J56" s="19"/>
      <c r="K56" s="19"/>
      <c r="L56" s="58" t="str">
        <f t="shared" si="3"/>
        <v/>
      </c>
      <c r="M56" s="45"/>
    </row>
    <row r="57" spans="1:13" x14ac:dyDescent="0.2">
      <c r="A57" s="36"/>
      <c r="B57" s="619" t="s">
        <v>306</v>
      </c>
      <c r="C57" s="415"/>
      <c r="D57" s="17"/>
      <c r="E57" s="18"/>
      <c r="F57" s="17"/>
      <c r="G57" s="57" t="str">
        <f t="shared" si="2"/>
        <v/>
      </c>
      <c r="H57" s="17"/>
      <c r="I57" s="17"/>
      <c r="J57" s="19"/>
      <c r="K57" s="19"/>
      <c r="L57" s="58" t="str">
        <f t="shared" si="3"/>
        <v/>
      </c>
      <c r="M57" s="45"/>
    </row>
    <row r="58" spans="1:13" x14ac:dyDescent="0.2">
      <c r="A58" s="36"/>
      <c r="B58" s="619" t="s">
        <v>306</v>
      </c>
      <c r="C58" s="415"/>
      <c r="D58" s="17"/>
      <c r="E58" s="18"/>
      <c r="F58" s="17"/>
      <c r="G58" s="57" t="str">
        <f t="shared" si="2"/>
        <v/>
      </c>
      <c r="H58" s="17"/>
      <c r="I58" s="17"/>
      <c r="J58" s="19"/>
      <c r="K58" s="19"/>
      <c r="L58" s="58" t="str">
        <f t="shared" si="3"/>
        <v/>
      </c>
      <c r="M58" s="45"/>
    </row>
    <row r="59" spans="1:13" x14ac:dyDescent="0.2">
      <c r="A59" s="36"/>
      <c r="B59" s="533"/>
      <c r="C59" s="533" t="s">
        <v>654</v>
      </c>
      <c r="D59" s="702">
        <f>SUM(D34:D58)</f>
        <v>2327</v>
      </c>
      <c r="E59" s="533"/>
      <c r="F59" s="533"/>
      <c r="G59" s="533"/>
      <c r="H59" s="533"/>
      <c r="I59" s="533">
        <f>SUM(I34:I58)</f>
        <v>0</v>
      </c>
      <c r="J59" s="533">
        <f>SUM(J34:J58)</f>
        <v>863801659</v>
      </c>
      <c r="K59" s="533">
        <f>SUM(K34:K58)</f>
        <v>0</v>
      </c>
      <c r="L59" s="533">
        <f>SUM(L34:L58)</f>
        <v>4900781.6588964993</v>
      </c>
      <c r="M59" s="45"/>
    </row>
    <row r="60" spans="1:13" x14ac:dyDescent="0.2">
      <c r="A60" s="36"/>
      <c r="B60" s="619" t="s">
        <v>302</v>
      </c>
      <c r="C60" s="415"/>
      <c r="D60" s="17">
        <v>844</v>
      </c>
      <c r="E60" s="18">
        <v>0.18734999999999999</v>
      </c>
      <c r="F60" s="17">
        <f>+F37</f>
        <v>495.28</v>
      </c>
      <c r="G60" s="57">
        <f t="shared" si="2"/>
        <v>0.24375917621451426</v>
      </c>
      <c r="H60" s="17"/>
      <c r="I60" s="17"/>
      <c r="J60" s="713">
        <v>692211300</v>
      </c>
      <c r="K60" s="19"/>
      <c r="L60" s="58">
        <f t="shared" si="3"/>
        <v>1714874.1905499999</v>
      </c>
      <c r="M60" s="45"/>
    </row>
    <row r="61" spans="1:13" x14ac:dyDescent="0.2">
      <c r="A61" s="36"/>
      <c r="B61" s="619" t="s">
        <v>302</v>
      </c>
      <c r="C61" s="415" t="s">
        <v>940</v>
      </c>
      <c r="D61" s="17">
        <v>125</v>
      </c>
      <c r="E61" s="18">
        <v>9.6430000000000002E-2</v>
      </c>
      <c r="F61" s="17">
        <f>+F60</f>
        <v>495.28</v>
      </c>
      <c r="G61" s="57">
        <f t="shared" si="2"/>
        <v>0.31821452569229308</v>
      </c>
      <c r="H61" s="17"/>
      <c r="I61" s="17"/>
      <c r="J61" s="713">
        <v>137555000</v>
      </c>
      <c r="K61" s="19"/>
      <c r="L61" s="58">
        <f t="shared" si="3"/>
        <v>194554.28649999999</v>
      </c>
      <c r="M61" s="45"/>
    </row>
    <row r="62" spans="1:13" x14ac:dyDescent="0.2">
      <c r="A62" s="36"/>
      <c r="B62" s="619" t="s">
        <v>302</v>
      </c>
      <c r="C62" s="415"/>
      <c r="D62" s="17"/>
      <c r="E62" s="18"/>
      <c r="F62" s="17"/>
      <c r="G62" s="57" t="str">
        <f t="shared" si="2"/>
        <v/>
      </c>
      <c r="H62" s="17"/>
      <c r="I62" s="17"/>
      <c r="J62" s="19"/>
      <c r="K62" s="19"/>
      <c r="L62" s="58" t="str">
        <f t="shared" si="3"/>
        <v/>
      </c>
      <c r="M62" s="45"/>
    </row>
    <row r="63" spans="1:13" x14ac:dyDescent="0.2">
      <c r="A63" s="36"/>
      <c r="B63" s="619" t="s">
        <v>302</v>
      </c>
      <c r="C63" s="415"/>
      <c r="D63" s="17"/>
      <c r="E63" s="18"/>
      <c r="F63" s="17"/>
      <c r="G63" s="57" t="str">
        <f t="shared" si="2"/>
        <v/>
      </c>
      <c r="H63" s="17"/>
      <c r="I63" s="17"/>
      <c r="J63" s="19"/>
      <c r="K63" s="19"/>
      <c r="L63" s="58" t="str">
        <f t="shared" si="3"/>
        <v/>
      </c>
      <c r="M63" s="45"/>
    </row>
    <row r="64" spans="1:13" x14ac:dyDescent="0.2">
      <c r="A64" s="36"/>
      <c r="B64" s="619" t="s">
        <v>302</v>
      </c>
      <c r="C64" s="415"/>
      <c r="D64" s="17"/>
      <c r="E64" s="18"/>
      <c r="F64" s="17"/>
      <c r="G64" s="57" t="str">
        <f t="shared" si="2"/>
        <v/>
      </c>
      <c r="H64" s="17"/>
      <c r="I64" s="17"/>
      <c r="J64" s="19"/>
      <c r="K64" s="19"/>
      <c r="L64" s="58" t="str">
        <f t="shared" si="3"/>
        <v/>
      </c>
      <c r="M64" s="45"/>
    </row>
    <row r="65" spans="1:13" x14ac:dyDescent="0.2">
      <c r="A65" s="36"/>
      <c r="B65" s="619" t="s">
        <v>302</v>
      </c>
      <c r="C65" s="415"/>
      <c r="D65" s="17"/>
      <c r="E65" s="18"/>
      <c r="F65" s="17"/>
      <c r="G65" s="57" t="str">
        <f t="shared" si="2"/>
        <v/>
      </c>
      <c r="H65" s="17"/>
      <c r="I65" s="17"/>
      <c r="J65" s="19"/>
      <c r="K65" s="19"/>
      <c r="L65" s="58" t="str">
        <f t="shared" si="3"/>
        <v/>
      </c>
      <c r="M65" s="45"/>
    </row>
    <row r="66" spans="1:13" x14ac:dyDescent="0.2">
      <c r="A66" s="36"/>
      <c r="B66" s="619" t="s">
        <v>302</v>
      </c>
      <c r="C66" s="415"/>
      <c r="D66" s="17"/>
      <c r="E66" s="18"/>
      <c r="F66" s="17"/>
      <c r="G66" s="57" t="str">
        <f t="shared" si="2"/>
        <v/>
      </c>
      <c r="H66" s="17"/>
      <c r="I66" s="17"/>
      <c r="J66" s="19"/>
      <c r="K66" s="19"/>
      <c r="L66" s="58" t="str">
        <f t="shared" si="3"/>
        <v/>
      </c>
      <c r="M66" s="45"/>
    </row>
    <row r="67" spans="1:13" x14ac:dyDescent="0.2">
      <c r="A67" s="36"/>
      <c r="B67" s="619" t="s">
        <v>302</v>
      </c>
      <c r="C67" s="415"/>
      <c r="D67" s="17"/>
      <c r="E67" s="18"/>
      <c r="F67" s="17"/>
      <c r="G67" s="57" t="str">
        <f t="shared" si="2"/>
        <v/>
      </c>
      <c r="H67" s="17"/>
      <c r="I67" s="17"/>
      <c r="J67" s="19"/>
      <c r="K67" s="19"/>
      <c r="L67" s="58" t="str">
        <f t="shared" si="3"/>
        <v/>
      </c>
      <c r="M67" s="45"/>
    </row>
    <row r="68" spans="1:13" x14ac:dyDescent="0.2">
      <c r="A68" s="36"/>
      <c r="B68" s="619" t="s">
        <v>302</v>
      </c>
      <c r="C68" s="415"/>
      <c r="D68" s="17"/>
      <c r="E68" s="18"/>
      <c r="F68" s="17"/>
      <c r="G68" s="57" t="str">
        <f t="shared" si="2"/>
        <v/>
      </c>
      <c r="H68" s="17"/>
      <c r="I68" s="17"/>
      <c r="J68" s="19"/>
      <c r="K68" s="19"/>
      <c r="L68" s="58" t="str">
        <f t="shared" si="3"/>
        <v/>
      </c>
      <c r="M68" s="45"/>
    </row>
    <row r="69" spans="1:13" x14ac:dyDescent="0.2">
      <c r="A69" s="36"/>
      <c r="B69" s="619" t="s">
        <v>302</v>
      </c>
      <c r="C69" s="415"/>
      <c r="D69" s="17"/>
      <c r="E69" s="18"/>
      <c r="F69" s="17"/>
      <c r="G69" s="57" t="str">
        <f t="shared" si="2"/>
        <v/>
      </c>
      <c r="H69" s="17"/>
      <c r="I69" s="17"/>
      <c r="J69" s="19"/>
      <c r="K69" s="19"/>
      <c r="L69" s="58" t="str">
        <f t="shared" si="3"/>
        <v/>
      </c>
      <c r="M69" s="45"/>
    </row>
    <row r="70" spans="1:13" x14ac:dyDescent="0.2">
      <c r="A70" s="36"/>
      <c r="B70" s="533"/>
      <c r="C70" s="533" t="s">
        <v>656</v>
      </c>
      <c r="D70" s="702">
        <f>SUM(D60:D69)</f>
        <v>969</v>
      </c>
      <c r="E70" s="533"/>
      <c r="F70" s="533"/>
      <c r="G70" s="533"/>
      <c r="H70" s="533"/>
      <c r="I70" s="533">
        <f>SUM(I60:I69)</f>
        <v>0</v>
      </c>
      <c r="J70" s="533">
        <f>SUM(J60:J69)</f>
        <v>829766300</v>
      </c>
      <c r="K70" s="533">
        <f>SUM(K60:K69)</f>
        <v>0</v>
      </c>
      <c r="L70" s="533">
        <f>SUM(L60:L69)</f>
        <v>1909428.4770499999</v>
      </c>
      <c r="M70" s="45"/>
    </row>
    <row r="71" spans="1:13" x14ac:dyDescent="0.2">
      <c r="A71" s="36"/>
      <c r="B71" s="619" t="s">
        <v>305</v>
      </c>
      <c r="C71" s="415"/>
      <c r="D71" s="17"/>
      <c r="E71" s="18"/>
      <c r="F71" s="17"/>
      <c r="G71" s="57" t="str">
        <f t="shared" si="2"/>
        <v/>
      </c>
      <c r="H71" s="17"/>
      <c r="I71" s="17"/>
      <c r="J71" s="19"/>
      <c r="K71" s="19"/>
      <c r="L71" s="58" t="str">
        <f t="shared" si="3"/>
        <v/>
      </c>
      <c r="M71" s="45"/>
    </row>
    <row r="72" spans="1:13" x14ac:dyDescent="0.2">
      <c r="A72" s="36"/>
      <c r="B72" s="619" t="s">
        <v>305</v>
      </c>
      <c r="C72" s="16"/>
      <c r="D72" s="17"/>
      <c r="E72" s="18"/>
      <c r="F72" s="17"/>
      <c r="G72" s="57" t="str">
        <f t="shared" si="2"/>
        <v/>
      </c>
      <c r="H72" s="17"/>
      <c r="I72" s="17"/>
      <c r="J72" s="19"/>
      <c r="K72" s="19"/>
      <c r="L72" s="58" t="str">
        <f t="shared" si="3"/>
        <v/>
      </c>
      <c r="M72" s="45"/>
    </row>
    <row r="73" spans="1:13" x14ac:dyDescent="0.2">
      <c r="A73" s="36"/>
      <c r="B73" s="619" t="s">
        <v>305</v>
      </c>
      <c r="C73" s="16"/>
      <c r="D73" s="17"/>
      <c r="E73" s="18"/>
      <c r="F73" s="17"/>
      <c r="G73" s="57" t="str">
        <f t="shared" si="2"/>
        <v/>
      </c>
      <c r="H73" s="17"/>
      <c r="I73" s="17"/>
      <c r="J73" s="19"/>
      <c r="K73" s="19"/>
      <c r="L73" s="58" t="str">
        <f t="shared" si="3"/>
        <v/>
      </c>
      <c r="M73" s="45"/>
    </row>
    <row r="74" spans="1:13" x14ac:dyDescent="0.2">
      <c r="A74" s="36"/>
      <c r="B74" s="619" t="s">
        <v>305</v>
      </c>
      <c r="C74" s="16"/>
      <c r="D74" s="17"/>
      <c r="E74" s="18"/>
      <c r="F74" s="17"/>
      <c r="G74" s="57" t="str">
        <f t="shared" si="2"/>
        <v/>
      </c>
      <c r="H74" s="17"/>
      <c r="I74" s="17"/>
      <c r="J74" s="19"/>
      <c r="K74" s="19"/>
      <c r="L74" s="58" t="str">
        <f t="shared" si="3"/>
        <v/>
      </c>
      <c r="M74" s="45"/>
    </row>
    <row r="75" spans="1:13" x14ac:dyDescent="0.2">
      <c r="A75" s="36"/>
      <c r="B75" s="619" t="s">
        <v>305</v>
      </c>
      <c r="C75" s="16"/>
      <c r="D75" s="17"/>
      <c r="E75" s="18"/>
      <c r="F75" s="17"/>
      <c r="G75" s="57" t="str">
        <f t="shared" si="2"/>
        <v/>
      </c>
      <c r="H75" s="17"/>
      <c r="I75" s="17"/>
      <c r="J75" s="19"/>
      <c r="K75" s="19"/>
      <c r="L75" s="58" t="str">
        <f t="shared" si="3"/>
        <v/>
      </c>
      <c r="M75" s="45"/>
    </row>
    <row r="76" spans="1:13" x14ac:dyDescent="0.2">
      <c r="A76" s="36"/>
      <c r="B76" s="619" t="s">
        <v>305</v>
      </c>
      <c r="C76" s="16"/>
      <c r="D76" s="17"/>
      <c r="E76" s="18"/>
      <c r="F76" s="17"/>
      <c r="G76" s="57" t="str">
        <f t="shared" si="2"/>
        <v/>
      </c>
      <c r="H76" s="17"/>
      <c r="I76" s="17"/>
      <c r="J76" s="19"/>
      <c r="K76" s="19"/>
      <c r="L76" s="58" t="str">
        <f t="shared" si="3"/>
        <v/>
      </c>
      <c r="M76" s="45"/>
    </row>
    <row r="77" spans="1:13" x14ac:dyDescent="0.2">
      <c r="A77" s="36"/>
      <c r="B77" s="619" t="s">
        <v>305</v>
      </c>
      <c r="C77" s="16"/>
      <c r="D77" s="17"/>
      <c r="E77" s="18"/>
      <c r="F77" s="17"/>
      <c r="G77" s="57" t="str">
        <f t="shared" si="2"/>
        <v/>
      </c>
      <c r="H77" s="17"/>
      <c r="I77" s="17"/>
      <c r="J77" s="19"/>
      <c r="K77" s="19"/>
      <c r="L77" s="58" t="str">
        <f t="shared" si="3"/>
        <v/>
      </c>
      <c r="M77" s="45"/>
    </row>
    <row r="78" spans="1:13" x14ac:dyDescent="0.2">
      <c r="A78" s="36"/>
      <c r="B78" s="619" t="s">
        <v>305</v>
      </c>
      <c r="C78" s="16"/>
      <c r="D78" s="17"/>
      <c r="E78" s="18"/>
      <c r="F78" s="17"/>
      <c r="G78" s="57" t="str">
        <f t="shared" si="2"/>
        <v/>
      </c>
      <c r="H78" s="17"/>
      <c r="I78" s="17"/>
      <c r="J78" s="19"/>
      <c r="K78" s="19"/>
      <c r="L78" s="58" t="str">
        <f t="shared" si="3"/>
        <v/>
      </c>
      <c r="M78" s="45"/>
    </row>
    <row r="79" spans="1:13" x14ac:dyDescent="0.2">
      <c r="A79" s="36"/>
      <c r="B79" s="619" t="s">
        <v>305</v>
      </c>
      <c r="C79" s="16"/>
      <c r="D79" s="17"/>
      <c r="E79" s="18"/>
      <c r="F79" s="17"/>
      <c r="G79" s="57" t="str">
        <f t="shared" si="2"/>
        <v/>
      </c>
      <c r="H79" s="17"/>
      <c r="I79" s="17"/>
      <c r="J79" s="19"/>
      <c r="K79" s="19"/>
      <c r="L79" s="58" t="str">
        <f t="shared" si="3"/>
        <v/>
      </c>
      <c r="M79" s="45"/>
    </row>
    <row r="80" spans="1:13" x14ac:dyDescent="0.2">
      <c r="A80" s="36"/>
      <c r="B80" s="619" t="s">
        <v>305</v>
      </c>
      <c r="C80" s="16"/>
      <c r="D80" s="17"/>
      <c r="E80" s="18"/>
      <c r="F80" s="17"/>
      <c r="G80" s="57" t="str">
        <f t="shared" si="2"/>
        <v/>
      </c>
      <c r="H80" s="17"/>
      <c r="I80" s="17"/>
      <c r="J80" s="19"/>
      <c r="K80" s="19"/>
      <c r="L80" s="58" t="str">
        <f t="shared" si="3"/>
        <v/>
      </c>
      <c r="M80" s="45"/>
    </row>
    <row r="81" spans="1:13" x14ac:dyDescent="0.2">
      <c r="A81" s="36"/>
      <c r="B81" s="533"/>
      <c r="C81" s="533" t="s">
        <v>657</v>
      </c>
      <c r="D81" s="702">
        <f>SUM(D71:D80)</f>
        <v>0</v>
      </c>
      <c r="E81" s="533"/>
      <c r="F81" s="533"/>
      <c r="G81" s="533"/>
      <c r="H81" s="533"/>
      <c r="I81" s="533">
        <f>SUM(I71:I80)</f>
        <v>0</v>
      </c>
      <c r="J81" s="533">
        <f>SUM(J71:J80)</f>
        <v>0</v>
      </c>
      <c r="K81" s="533">
        <f>SUM(K71:K80)</f>
        <v>0</v>
      </c>
      <c r="L81" s="533">
        <f>SUM(L71:L80)</f>
        <v>0</v>
      </c>
      <c r="M81" s="45"/>
    </row>
    <row r="82" spans="1:13" x14ac:dyDescent="0.2">
      <c r="A82" s="36"/>
      <c r="B82" s="15"/>
      <c r="C82" s="16"/>
      <c r="D82" s="17"/>
      <c r="E82" s="18"/>
      <c r="F82" s="17"/>
      <c r="G82" s="57" t="str">
        <f t="shared" si="2"/>
        <v/>
      </c>
      <c r="H82" s="17"/>
      <c r="I82" s="17"/>
      <c r="J82" s="19"/>
      <c r="K82" s="19"/>
      <c r="L82" s="58" t="str">
        <f t="shared" si="3"/>
        <v/>
      </c>
      <c r="M82" s="45"/>
    </row>
    <row r="83" spans="1:13" x14ac:dyDescent="0.2">
      <c r="A83" s="36"/>
      <c r="B83" s="59" t="s">
        <v>307</v>
      </c>
      <c r="C83" s="60"/>
      <c r="D83" s="376">
        <f>D33+D59+D70+D81</f>
        <v>55927</v>
      </c>
      <c r="E83" s="38"/>
      <c r="F83" s="40"/>
      <c r="G83" s="40" t="s">
        <v>308</v>
      </c>
      <c r="H83" s="38"/>
      <c r="I83" s="38"/>
      <c r="J83" s="376">
        <f>J33+J59+J70+J81</f>
        <v>12918865060</v>
      </c>
      <c r="K83" s="62" t="s">
        <v>309</v>
      </c>
      <c r="L83" s="376">
        <f>L33+L59+L70+L81</f>
        <v>57927981.536181197</v>
      </c>
      <c r="M83" s="45"/>
    </row>
    <row r="84" spans="1:13" x14ac:dyDescent="0.2">
      <c r="A84" s="63"/>
      <c r="B84" s="64"/>
      <c r="C84" s="64"/>
      <c r="D84" s="65"/>
      <c r="E84" s="65"/>
      <c r="F84" s="66"/>
      <c r="G84" s="65"/>
      <c r="H84" s="65"/>
      <c r="I84" s="65"/>
      <c r="J84" s="65"/>
      <c r="K84" s="67"/>
      <c r="L84" s="68"/>
      <c r="M84" s="69"/>
    </row>
    <row r="85" spans="1:13" ht="12" customHeight="1" x14ac:dyDescent="0.25">
      <c r="A85" s="30"/>
      <c r="B85" s="70"/>
      <c r="C85" s="70"/>
      <c r="D85" s="32"/>
      <c r="E85" s="32"/>
      <c r="F85" s="32"/>
      <c r="G85" s="32"/>
      <c r="H85" s="32"/>
      <c r="I85" s="32"/>
      <c r="J85" s="32"/>
      <c r="K85" s="33"/>
      <c r="L85" s="33"/>
      <c r="M85" s="71"/>
    </row>
    <row r="86" spans="1:13" ht="14.25" customHeight="1" x14ac:dyDescent="0.25">
      <c r="A86" s="36"/>
      <c r="B86" s="767" t="str">
        <f>B2</f>
        <v>Shoalhaven City Council</v>
      </c>
      <c r="C86" s="768"/>
      <c r="D86" s="768"/>
      <c r="E86" s="768"/>
      <c r="F86" s="769"/>
      <c r="G86" s="42"/>
      <c r="H86" s="42"/>
      <c r="I86" s="42"/>
      <c r="J86" s="38"/>
      <c r="K86" s="39"/>
      <c r="L86" s="40"/>
      <c r="M86" s="48"/>
    </row>
    <row r="87" spans="1:13" ht="24" customHeight="1" x14ac:dyDescent="0.35">
      <c r="A87" s="36"/>
      <c r="B87" s="72"/>
      <c r="C87" s="774" t="s">
        <v>82</v>
      </c>
      <c r="D87" s="774"/>
      <c r="E87" s="774"/>
      <c r="F87" s="774"/>
      <c r="G87" s="774"/>
      <c r="H87" s="774"/>
      <c r="I87" s="774"/>
      <c r="J87" s="774"/>
      <c r="K87" s="774"/>
      <c r="L87" s="76"/>
      <c r="M87" s="46"/>
    </row>
    <row r="88" spans="1:13" ht="3.75" customHeight="1" x14ac:dyDescent="0.25">
      <c r="A88" s="36"/>
      <c r="B88" s="73"/>
      <c r="C88" s="73"/>
      <c r="D88" s="74"/>
      <c r="E88" s="74"/>
      <c r="F88" s="74"/>
      <c r="G88" s="74"/>
      <c r="H88" s="74"/>
      <c r="I88" s="74"/>
      <c r="J88" s="75"/>
      <c r="K88" s="76"/>
      <c r="L88" s="76"/>
      <c r="M88" s="46"/>
    </row>
    <row r="89" spans="1:13" ht="9" customHeight="1" x14ac:dyDescent="0.2">
      <c r="A89" s="36"/>
      <c r="B89" s="47"/>
      <c r="C89" s="47"/>
      <c r="D89" s="42"/>
      <c r="E89" s="42"/>
      <c r="F89" s="42"/>
      <c r="G89" s="42"/>
      <c r="H89" s="42"/>
      <c r="I89" s="42"/>
      <c r="J89" s="38"/>
      <c r="K89" s="39"/>
      <c r="L89" s="39"/>
      <c r="M89" s="48"/>
    </row>
    <row r="90" spans="1:13" ht="54" customHeight="1" x14ac:dyDescent="0.2">
      <c r="A90" s="51"/>
      <c r="B90" s="52" t="s">
        <v>284</v>
      </c>
      <c r="C90" s="54" t="s">
        <v>636</v>
      </c>
      <c r="D90" s="77" t="s">
        <v>286</v>
      </c>
      <c r="E90" s="77" t="s">
        <v>287</v>
      </c>
      <c r="F90" s="52" t="s">
        <v>80</v>
      </c>
      <c r="G90" s="77" t="s">
        <v>288</v>
      </c>
      <c r="H90" s="53" t="s">
        <v>81</v>
      </c>
      <c r="I90" s="77" t="s">
        <v>289</v>
      </c>
      <c r="J90" s="54" t="s">
        <v>88</v>
      </c>
      <c r="K90" s="55" t="s">
        <v>291</v>
      </c>
      <c r="L90" s="430" t="s">
        <v>463</v>
      </c>
      <c r="M90" s="56"/>
    </row>
    <row r="91" spans="1:13" s="176" customFormat="1" ht="24.75" customHeight="1" x14ac:dyDescent="0.2">
      <c r="A91" s="169"/>
      <c r="B91" s="619" t="s">
        <v>304</v>
      </c>
      <c r="C91" s="15" t="s">
        <v>941</v>
      </c>
      <c r="D91" s="171">
        <v>115</v>
      </c>
      <c r="E91" s="170">
        <v>0.5383180276002455</v>
      </c>
      <c r="F91" s="171">
        <v>180.74706525495651</v>
      </c>
      <c r="G91" s="172">
        <f>IF(F91="","",D91*F91/L91)</f>
        <v>0.5</v>
      </c>
      <c r="H91" s="171"/>
      <c r="I91" s="171"/>
      <c r="J91" s="714">
        <v>3861270</v>
      </c>
      <c r="K91" s="173"/>
      <c r="L91" s="174">
        <f>IF(D91="","",IF(F91&lt;&gt;"",F91*D91+J91*(E91/100),(J91-K91)*(E91/100)+H91*I91))</f>
        <v>41571.82500864</v>
      </c>
      <c r="M91" s="175"/>
    </row>
    <row r="92" spans="1:13" s="176" customFormat="1" ht="23.25" customHeight="1" x14ac:dyDescent="0.2">
      <c r="A92" s="169"/>
      <c r="B92" s="619" t="s">
        <v>304</v>
      </c>
      <c r="C92" s="15" t="s">
        <v>942</v>
      </c>
      <c r="D92" s="171">
        <v>116</v>
      </c>
      <c r="E92" s="170">
        <v>0.28267954273578588</v>
      </c>
      <c r="F92" s="171">
        <v>95.008838002758608</v>
      </c>
      <c r="G92" s="172">
        <f t="shared" ref="G92:G140" si="4">IF(F92="","",D92*F92/L92)</f>
        <v>0.5</v>
      </c>
      <c r="H92" s="171"/>
      <c r="I92" s="171"/>
      <c r="J92" s="714">
        <v>3898770</v>
      </c>
      <c r="K92" s="173"/>
      <c r="L92" s="174">
        <f t="shared" ref="L92:L140" si="5">IF(D92="","",IF(F92&lt;&gt;"",F92*D92+J92*(E92/100),(J92-K92)*(E92/100)+H92*I92))</f>
        <v>22042.050416639999</v>
      </c>
      <c r="M92" s="175"/>
    </row>
    <row r="93" spans="1:13" s="176" customFormat="1" ht="21.75" customHeight="1" x14ac:dyDescent="0.2">
      <c r="A93" s="169"/>
      <c r="B93" s="619" t="s">
        <v>304</v>
      </c>
      <c r="C93" s="15" t="s">
        <v>943</v>
      </c>
      <c r="D93" s="171">
        <v>116</v>
      </c>
      <c r="E93" s="170">
        <v>0.46015408000369346</v>
      </c>
      <c r="F93" s="171">
        <v>154.65818297379309</v>
      </c>
      <c r="G93" s="172">
        <f t="shared" si="4"/>
        <v>0.5</v>
      </c>
      <c r="H93" s="171"/>
      <c r="I93" s="171"/>
      <c r="J93" s="714">
        <v>3898770</v>
      </c>
      <c r="K93" s="173"/>
      <c r="L93" s="174">
        <f t="shared" si="5"/>
        <v>35880.698449919997</v>
      </c>
      <c r="M93" s="175"/>
    </row>
    <row r="94" spans="1:13" s="176" customFormat="1" ht="23.25" customHeight="1" x14ac:dyDescent="0.2">
      <c r="A94" s="169"/>
      <c r="B94" s="619" t="s">
        <v>304</v>
      </c>
      <c r="C94" s="15" t="s">
        <v>944</v>
      </c>
      <c r="D94" s="171">
        <v>18</v>
      </c>
      <c r="E94" s="170">
        <v>0.14422125927654611</v>
      </c>
      <c r="F94" s="171">
        <v>343.32672000000002</v>
      </c>
      <c r="G94" s="172">
        <f t="shared" si="4"/>
        <v>0.5</v>
      </c>
      <c r="H94" s="171"/>
      <c r="I94" s="171"/>
      <c r="J94" s="714">
        <v>4285000</v>
      </c>
      <c r="K94" s="173"/>
      <c r="L94" s="174">
        <f t="shared" si="5"/>
        <v>12359.761920000001</v>
      </c>
      <c r="M94" s="175"/>
    </row>
    <row r="95" spans="1:13" s="176" customFormat="1" ht="23.25" customHeight="1" x14ac:dyDescent="0.2">
      <c r="A95" s="169"/>
      <c r="B95" s="619" t="s">
        <v>304</v>
      </c>
      <c r="C95" s="15" t="s">
        <v>945</v>
      </c>
      <c r="D95" s="171">
        <v>18</v>
      </c>
      <c r="E95" s="170">
        <v>5.5091677946324386E-2</v>
      </c>
      <c r="F95" s="171">
        <v>131.14879999999999</v>
      </c>
      <c r="G95" s="172">
        <f t="shared" si="4"/>
        <v>0.5</v>
      </c>
      <c r="H95" s="171"/>
      <c r="I95" s="171"/>
      <c r="J95" s="714">
        <v>4285000</v>
      </c>
      <c r="K95" s="173"/>
      <c r="L95" s="174">
        <f t="shared" si="5"/>
        <v>4721.3567999999996</v>
      </c>
      <c r="M95" s="175"/>
    </row>
    <row r="96" spans="1:13" s="176" customFormat="1" ht="23.25" customHeight="1" x14ac:dyDescent="0.2">
      <c r="A96" s="169"/>
      <c r="B96" s="619" t="s">
        <v>304</v>
      </c>
      <c r="C96" s="15" t="s">
        <v>946</v>
      </c>
      <c r="D96" s="171">
        <v>18</v>
      </c>
      <c r="E96" s="170">
        <v>0.1663848252042007</v>
      </c>
      <c r="F96" s="171">
        <v>396.08832000000001</v>
      </c>
      <c r="G96" s="172">
        <f t="shared" si="4"/>
        <v>0.5</v>
      </c>
      <c r="H96" s="171"/>
      <c r="I96" s="171"/>
      <c r="J96" s="714">
        <v>4285000</v>
      </c>
      <c r="K96" s="173"/>
      <c r="L96" s="174">
        <f t="shared" si="5"/>
        <v>14259.17952</v>
      </c>
      <c r="M96" s="175"/>
    </row>
    <row r="97" spans="1:13" s="176" customFormat="1" ht="23.25" customHeight="1" x14ac:dyDescent="0.2">
      <c r="A97" s="169"/>
      <c r="B97" s="619" t="s">
        <v>304</v>
      </c>
      <c r="C97" s="15" t="s">
        <v>947</v>
      </c>
      <c r="D97" s="171">
        <v>25</v>
      </c>
      <c r="E97" s="170">
        <v>0.62526795239812472</v>
      </c>
      <c r="F97" s="171">
        <v>277.41888511999997</v>
      </c>
      <c r="G97" s="172">
        <f t="shared" si="4"/>
        <v>0.5</v>
      </c>
      <c r="H97" s="171"/>
      <c r="I97" s="171"/>
      <c r="J97" s="714">
        <v>1109200</v>
      </c>
      <c r="K97" s="173"/>
      <c r="L97" s="174">
        <f t="shared" si="5"/>
        <v>13870.944255999999</v>
      </c>
      <c r="M97" s="175"/>
    </row>
    <row r="98" spans="1:13" s="176" customFormat="1" ht="23.25" customHeight="1" x14ac:dyDescent="0.2">
      <c r="A98" s="169"/>
      <c r="B98" s="619" t="s">
        <v>304</v>
      </c>
      <c r="C98" s="15" t="s">
        <v>948</v>
      </c>
      <c r="D98" s="171">
        <v>25</v>
      </c>
      <c r="E98" s="170">
        <v>0.15615113739632167</v>
      </c>
      <c r="F98" s="171">
        <v>69.28113664</v>
      </c>
      <c r="G98" s="172">
        <f t="shared" si="4"/>
        <v>0.5</v>
      </c>
      <c r="H98" s="171"/>
      <c r="I98" s="171"/>
      <c r="J98" s="714">
        <v>1109200</v>
      </c>
      <c r="K98" s="173"/>
      <c r="L98" s="174">
        <f t="shared" si="5"/>
        <v>3464.0568320000002</v>
      </c>
      <c r="M98" s="175"/>
    </row>
    <row r="99" spans="1:13" s="176" customFormat="1" ht="23.25" customHeight="1" x14ac:dyDescent="0.2">
      <c r="A99" s="169"/>
      <c r="B99" s="619" t="s">
        <v>304</v>
      </c>
      <c r="C99" s="15" t="s">
        <v>949</v>
      </c>
      <c r="D99" s="171">
        <v>25</v>
      </c>
      <c r="E99" s="170">
        <v>0.2671109354489723</v>
      </c>
      <c r="F99" s="171">
        <v>118.51177984000002</v>
      </c>
      <c r="G99" s="172">
        <f t="shared" si="4"/>
        <v>0.5</v>
      </c>
      <c r="H99" s="171"/>
      <c r="I99" s="171"/>
      <c r="J99" s="714">
        <v>1109200</v>
      </c>
      <c r="K99" s="173"/>
      <c r="L99" s="174">
        <f t="shared" si="5"/>
        <v>5925.5889920000009</v>
      </c>
      <c r="M99" s="175"/>
    </row>
    <row r="100" spans="1:13" s="176" customFormat="1" ht="23.25" customHeight="1" x14ac:dyDescent="0.2">
      <c r="A100" s="169"/>
      <c r="B100" s="619" t="s">
        <v>304</v>
      </c>
      <c r="C100" s="16" t="s">
        <v>950</v>
      </c>
      <c r="D100" s="171">
        <v>120</v>
      </c>
      <c r="E100" s="170">
        <v>7.4340000000000002</v>
      </c>
      <c r="F100" s="171">
        <v>2559.27</v>
      </c>
      <c r="G100" s="172">
        <f t="shared" si="4"/>
        <v>0.50000099491459149</v>
      </c>
      <c r="H100" s="171"/>
      <c r="I100" s="171"/>
      <c r="J100" s="714">
        <v>4131170</v>
      </c>
      <c r="K100" s="173"/>
      <c r="L100" s="174">
        <f t="shared" si="5"/>
        <v>614223.57780000009</v>
      </c>
      <c r="M100" s="175"/>
    </row>
    <row r="101" spans="1:13" s="176" customFormat="1" ht="24" customHeight="1" x14ac:dyDescent="0.2">
      <c r="A101" s="169"/>
      <c r="B101" s="619" t="s">
        <v>306</v>
      </c>
      <c r="C101" s="16" t="s">
        <v>951</v>
      </c>
      <c r="D101" s="171">
        <v>118</v>
      </c>
      <c r="E101" s="170">
        <v>2.5339999999999998</v>
      </c>
      <c r="F101" s="171">
        <v>876.98</v>
      </c>
      <c r="G101" s="172">
        <f t="shared" si="4"/>
        <v>0.49997770809813619</v>
      </c>
      <c r="H101" s="171"/>
      <c r="I101" s="171"/>
      <c r="J101" s="714">
        <v>4084170</v>
      </c>
      <c r="K101" s="173"/>
      <c r="L101" s="174">
        <f t="shared" si="5"/>
        <v>206976.50779999999</v>
      </c>
      <c r="M101" s="175"/>
    </row>
    <row r="102" spans="1:13" s="176" customFormat="1" ht="20.25" customHeight="1" x14ac:dyDescent="0.2">
      <c r="A102" s="169"/>
      <c r="B102" s="619" t="s">
        <v>306</v>
      </c>
      <c r="C102" s="16" t="s">
        <v>981</v>
      </c>
      <c r="D102" s="171">
        <v>18</v>
      </c>
      <c r="E102" s="170">
        <v>18.969000000000001</v>
      </c>
      <c r="F102" s="171">
        <v>641.55999999999995</v>
      </c>
      <c r="G102" s="172">
        <f t="shared" si="4"/>
        <v>0.4999946485183201</v>
      </c>
      <c r="H102" s="171"/>
      <c r="I102" s="171"/>
      <c r="J102" s="173">
        <v>60880</v>
      </c>
      <c r="K102" s="173"/>
      <c r="L102" s="174">
        <f t="shared" si="5"/>
        <v>23096.407200000001</v>
      </c>
      <c r="M102" s="175"/>
    </row>
    <row r="103" spans="1:13" s="176" customFormat="1" ht="20.25" customHeight="1" x14ac:dyDescent="0.2">
      <c r="A103" s="169"/>
      <c r="B103" s="619" t="s">
        <v>306</v>
      </c>
      <c r="C103" s="16"/>
      <c r="D103" s="171"/>
      <c r="E103" s="170"/>
      <c r="F103" s="171"/>
      <c r="G103" s="172" t="str">
        <f t="shared" si="4"/>
        <v/>
      </c>
      <c r="H103" s="171"/>
      <c r="I103" s="171"/>
      <c r="J103" s="173"/>
      <c r="K103" s="173"/>
      <c r="L103" s="174" t="str">
        <f t="shared" si="5"/>
        <v/>
      </c>
      <c r="M103" s="175"/>
    </row>
    <row r="104" spans="1:13" s="176" customFormat="1" ht="24" customHeight="1" x14ac:dyDescent="0.2">
      <c r="A104" s="169"/>
      <c r="B104" s="619" t="s">
        <v>306</v>
      </c>
      <c r="C104" s="16"/>
      <c r="D104" s="171"/>
      <c r="E104" s="170"/>
      <c r="F104" s="171"/>
      <c r="G104" s="172" t="str">
        <f t="shared" si="4"/>
        <v/>
      </c>
      <c r="H104" s="171"/>
      <c r="I104" s="171"/>
      <c r="J104" s="173"/>
      <c r="K104" s="173"/>
      <c r="L104" s="174" t="str">
        <f t="shared" si="5"/>
        <v/>
      </c>
      <c r="M104" s="175"/>
    </row>
    <row r="105" spans="1:13" s="176" customFormat="1" ht="24" customHeight="1" x14ac:dyDescent="0.2">
      <c r="A105" s="169"/>
      <c r="B105" s="619" t="s">
        <v>306</v>
      </c>
      <c r="C105" s="16"/>
      <c r="D105" s="171"/>
      <c r="E105" s="170"/>
      <c r="F105" s="171"/>
      <c r="G105" s="172" t="str">
        <f t="shared" si="4"/>
        <v/>
      </c>
      <c r="H105" s="171"/>
      <c r="I105" s="171"/>
      <c r="J105" s="173"/>
      <c r="K105" s="173"/>
      <c r="L105" s="174" t="str">
        <f t="shared" si="5"/>
        <v/>
      </c>
      <c r="M105" s="175"/>
    </row>
    <row r="106" spans="1:13" s="176" customFormat="1" ht="24" customHeight="1" x14ac:dyDescent="0.2">
      <c r="A106" s="169"/>
      <c r="B106" s="619" t="s">
        <v>306</v>
      </c>
      <c r="C106" s="16"/>
      <c r="D106" s="171"/>
      <c r="E106" s="170"/>
      <c r="F106" s="171"/>
      <c r="G106" s="172" t="str">
        <f t="shared" si="4"/>
        <v/>
      </c>
      <c r="H106" s="171"/>
      <c r="I106" s="171"/>
      <c r="J106" s="173"/>
      <c r="K106" s="173"/>
      <c r="L106" s="174" t="str">
        <f t="shared" si="5"/>
        <v/>
      </c>
      <c r="M106" s="175"/>
    </row>
    <row r="107" spans="1:13" s="176" customFormat="1" ht="24" customHeight="1" x14ac:dyDescent="0.2">
      <c r="A107" s="169"/>
      <c r="B107" s="619" t="s">
        <v>306</v>
      </c>
      <c r="C107" s="16"/>
      <c r="D107" s="171"/>
      <c r="E107" s="170"/>
      <c r="F107" s="171"/>
      <c r="G107" s="172" t="str">
        <f t="shared" si="4"/>
        <v/>
      </c>
      <c r="H107" s="171"/>
      <c r="I107" s="171"/>
      <c r="J107" s="173"/>
      <c r="K107" s="173"/>
      <c r="L107" s="174" t="str">
        <f t="shared" si="5"/>
        <v/>
      </c>
      <c r="M107" s="175"/>
    </row>
    <row r="108" spans="1:13" s="176" customFormat="1" ht="24" customHeight="1" x14ac:dyDescent="0.2">
      <c r="A108" s="169"/>
      <c r="B108" s="619" t="s">
        <v>306</v>
      </c>
      <c r="C108" s="16"/>
      <c r="D108" s="171"/>
      <c r="E108" s="170"/>
      <c r="F108" s="171"/>
      <c r="G108" s="172" t="str">
        <f t="shared" si="4"/>
        <v/>
      </c>
      <c r="H108" s="171"/>
      <c r="I108" s="171"/>
      <c r="J108" s="173"/>
      <c r="K108" s="173"/>
      <c r="L108" s="174" t="str">
        <f t="shared" si="5"/>
        <v/>
      </c>
      <c r="M108" s="175"/>
    </row>
    <row r="109" spans="1:13" s="176" customFormat="1" ht="24" customHeight="1" x14ac:dyDescent="0.2">
      <c r="A109" s="169"/>
      <c r="B109" s="619" t="s">
        <v>306</v>
      </c>
      <c r="C109" s="16"/>
      <c r="D109" s="171"/>
      <c r="E109" s="170"/>
      <c r="F109" s="171"/>
      <c r="G109" s="172" t="str">
        <f t="shared" si="4"/>
        <v/>
      </c>
      <c r="H109" s="171"/>
      <c r="I109" s="171"/>
      <c r="J109" s="173"/>
      <c r="K109" s="173"/>
      <c r="L109" s="174" t="str">
        <f t="shared" si="5"/>
        <v/>
      </c>
      <c r="M109" s="175"/>
    </row>
    <row r="110" spans="1:13" s="176" customFormat="1" ht="24" customHeight="1" x14ac:dyDescent="0.2">
      <c r="A110" s="169"/>
      <c r="B110" s="619" t="s">
        <v>306</v>
      </c>
      <c r="C110" s="16"/>
      <c r="D110" s="171"/>
      <c r="E110" s="170"/>
      <c r="F110" s="171"/>
      <c r="G110" s="172" t="str">
        <f t="shared" si="4"/>
        <v/>
      </c>
      <c r="H110" s="171"/>
      <c r="I110" s="171"/>
      <c r="J110" s="173"/>
      <c r="K110" s="173"/>
      <c r="L110" s="174" t="str">
        <f t="shared" si="5"/>
        <v/>
      </c>
      <c r="M110" s="175"/>
    </row>
    <row r="111" spans="1:13" s="176" customFormat="1" ht="24" customHeight="1" x14ac:dyDescent="0.2">
      <c r="A111" s="169"/>
      <c r="B111" s="619" t="s">
        <v>306</v>
      </c>
      <c r="C111" s="16"/>
      <c r="D111" s="171"/>
      <c r="E111" s="170"/>
      <c r="F111" s="171"/>
      <c r="G111" s="172" t="str">
        <f t="shared" si="4"/>
        <v/>
      </c>
      <c r="H111" s="171"/>
      <c r="I111" s="171"/>
      <c r="J111" s="173"/>
      <c r="K111" s="173"/>
      <c r="L111" s="174" t="str">
        <f t="shared" si="5"/>
        <v/>
      </c>
      <c r="M111" s="175"/>
    </row>
    <row r="112" spans="1:13" s="176" customFormat="1" ht="24" customHeight="1" x14ac:dyDescent="0.2">
      <c r="A112" s="169"/>
      <c r="B112" s="619" t="s">
        <v>306</v>
      </c>
      <c r="C112" s="16"/>
      <c r="D112" s="171"/>
      <c r="E112" s="170"/>
      <c r="F112" s="171"/>
      <c r="G112" s="172" t="str">
        <f t="shared" si="4"/>
        <v/>
      </c>
      <c r="H112" s="171"/>
      <c r="I112" s="171"/>
      <c r="J112" s="173"/>
      <c r="K112" s="173"/>
      <c r="L112" s="174" t="str">
        <f t="shared" si="5"/>
        <v/>
      </c>
      <c r="M112" s="175"/>
    </row>
    <row r="113" spans="1:13" s="176" customFormat="1" ht="24" customHeight="1" x14ac:dyDescent="0.2">
      <c r="A113" s="169"/>
      <c r="B113" s="619" t="s">
        <v>306</v>
      </c>
      <c r="C113" s="16"/>
      <c r="D113" s="171"/>
      <c r="E113" s="170"/>
      <c r="F113" s="171"/>
      <c r="G113" s="172" t="str">
        <f t="shared" si="4"/>
        <v/>
      </c>
      <c r="H113" s="171"/>
      <c r="I113" s="171"/>
      <c r="J113" s="173"/>
      <c r="K113" s="173"/>
      <c r="L113" s="174" t="str">
        <f t="shared" si="5"/>
        <v/>
      </c>
      <c r="M113" s="175"/>
    </row>
    <row r="114" spans="1:13" s="176" customFormat="1" ht="24" customHeight="1" x14ac:dyDescent="0.2">
      <c r="A114" s="169"/>
      <c r="B114" s="619" t="s">
        <v>306</v>
      </c>
      <c r="C114" s="16"/>
      <c r="D114" s="171"/>
      <c r="E114" s="170"/>
      <c r="F114" s="171"/>
      <c r="G114" s="172" t="str">
        <f t="shared" si="4"/>
        <v/>
      </c>
      <c r="H114" s="171"/>
      <c r="I114" s="171"/>
      <c r="J114" s="173"/>
      <c r="K114" s="173"/>
      <c r="L114" s="174" t="str">
        <f t="shared" si="5"/>
        <v/>
      </c>
      <c r="M114" s="175"/>
    </row>
    <row r="115" spans="1:13" s="176" customFormat="1" ht="24" customHeight="1" x14ac:dyDescent="0.2">
      <c r="A115" s="169"/>
      <c r="B115" s="619" t="s">
        <v>306</v>
      </c>
      <c r="C115" s="16"/>
      <c r="D115" s="171"/>
      <c r="E115" s="170"/>
      <c r="F115" s="171"/>
      <c r="G115" s="172" t="str">
        <f t="shared" si="4"/>
        <v/>
      </c>
      <c r="H115" s="171"/>
      <c r="I115" s="171"/>
      <c r="J115" s="173"/>
      <c r="K115" s="173"/>
      <c r="L115" s="174" t="str">
        <f t="shared" si="5"/>
        <v/>
      </c>
      <c r="M115" s="175"/>
    </row>
    <row r="116" spans="1:13" s="176" customFormat="1" ht="24" customHeight="1" x14ac:dyDescent="0.2">
      <c r="A116" s="169"/>
      <c r="B116" s="619" t="s">
        <v>306</v>
      </c>
      <c r="C116" s="16"/>
      <c r="D116" s="171"/>
      <c r="E116" s="170"/>
      <c r="F116" s="171"/>
      <c r="G116" s="172" t="str">
        <f t="shared" si="4"/>
        <v/>
      </c>
      <c r="H116" s="171"/>
      <c r="I116" s="171"/>
      <c r="J116" s="173"/>
      <c r="K116" s="173"/>
      <c r="L116" s="174" t="str">
        <f t="shared" si="5"/>
        <v/>
      </c>
      <c r="M116" s="175"/>
    </row>
    <row r="117" spans="1:13" s="176" customFormat="1" ht="24" customHeight="1" x14ac:dyDescent="0.2">
      <c r="A117" s="169"/>
      <c r="B117" s="619" t="s">
        <v>306</v>
      </c>
      <c r="C117" s="16"/>
      <c r="D117" s="171"/>
      <c r="E117" s="170"/>
      <c r="F117" s="171"/>
      <c r="G117" s="172" t="str">
        <f t="shared" si="4"/>
        <v/>
      </c>
      <c r="H117" s="171"/>
      <c r="I117" s="171"/>
      <c r="J117" s="173"/>
      <c r="K117" s="173"/>
      <c r="L117" s="174" t="str">
        <f t="shared" si="5"/>
        <v/>
      </c>
      <c r="M117" s="175"/>
    </row>
    <row r="118" spans="1:13" s="176" customFormat="1" ht="24" customHeight="1" x14ac:dyDescent="0.2">
      <c r="A118" s="169"/>
      <c r="B118" s="619" t="s">
        <v>306</v>
      </c>
      <c r="C118" s="16"/>
      <c r="D118" s="171"/>
      <c r="E118" s="170"/>
      <c r="F118" s="171"/>
      <c r="G118" s="172" t="str">
        <f t="shared" si="4"/>
        <v/>
      </c>
      <c r="H118" s="171"/>
      <c r="I118" s="171"/>
      <c r="J118" s="173"/>
      <c r="K118" s="173"/>
      <c r="L118" s="174" t="str">
        <f t="shared" si="5"/>
        <v/>
      </c>
      <c r="M118" s="175"/>
    </row>
    <row r="119" spans="1:13" s="176" customFormat="1" ht="24" customHeight="1" x14ac:dyDescent="0.2">
      <c r="A119" s="169"/>
      <c r="B119" s="619" t="s">
        <v>306</v>
      </c>
      <c r="C119" s="16"/>
      <c r="D119" s="171"/>
      <c r="E119" s="170"/>
      <c r="F119" s="171"/>
      <c r="G119" s="172" t="str">
        <f t="shared" si="4"/>
        <v/>
      </c>
      <c r="H119" s="171"/>
      <c r="I119" s="171"/>
      <c r="J119" s="173"/>
      <c r="K119" s="173"/>
      <c r="L119" s="174" t="str">
        <f t="shared" si="5"/>
        <v/>
      </c>
      <c r="M119" s="175"/>
    </row>
    <row r="120" spans="1:13" s="176" customFormat="1" ht="24" customHeight="1" x14ac:dyDescent="0.2">
      <c r="A120" s="169"/>
      <c r="B120" s="619" t="s">
        <v>306</v>
      </c>
      <c r="C120" s="16"/>
      <c r="D120" s="171"/>
      <c r="E120" s="170"/>
      <c r="F120" s="171"/>
      <c r="G120" s="172" t="str">
        <f t="shared" si="4"/>
        <v/>
      </c>
      <c r="H120" s="171"/>
      <c r="I120" s="171"/>
      <c r="J120" s="173"/>
      <c r="K120" s="173"/>
      <c r="L120" s="174" t="str">
        <f t="shared" si="5"/>
        <v/>
      </c>
      <c r="M120" s="175"/>
    </row>
    <row r="121" spans="1:13" s="176" customFormat="1" ht="20.25" customHeight="1" x14ac:dyDescent="0.2">
      <c r="A121" s="169"/>
      <c r="B121" s="619" t="s">
        <v>302</v>
      </c>
      <c r="C121" s="16"/>
      <c r="D121" s="171"/>
      <c r="E121" s="170"/>
      <c r="F121" s="171"/>
      <c r="G121" s="172" t="str">
        <f t="shared" si="4"/>
        <v/>
      </c>
      <c r="H121" s="171"/>
      <c r="I121" s="171"/>
      <c r="J121" s="173"/>
      <c r="K121" s="173"/>
      <c r="L121" s="174" t="str">
        <f t="shared" si="5"/>
        <v/>
      </c>
      <c r="M121" s="175"/>
    </row>
    <row r="122" spans="1:13" s="176" customFormat="1" ht="21.75" customHeight="1" x14ac:dyDescent="0.2">
      <c r="A122" s="169"/>
      <c r="B122" s="619" t="s">
        <v>302</v>
      </c>
      <c r="C122" s="16"/>
      <c r="D122" s="171"/>
      <c r="E122" s="170"/>
      <c r="F122" s="171"/>
      <c r="G122" s="172" t="str">
        <f t="shared" si="4"/>
        <v/>
      </c>
      <c r="H122" s="171"/>
      <c r="I122" s="171"/>
      <c r="J122" s="173"/>
      <c r="K122" s="173"/>
      <c r="L122" s="174" t="str">
        <f t="shared" si="5"/>
        <v/>
      </c>
      <c r="M122" s="175"/>
    </row>
    <row r="123" spans="1:13" s="176" customFormat="1" ht="18" customHeight="1" x14ac:dyDescent="0.2">
      <c r="A123" s="169"/>
      <c r="B123" s="619" t="s">
        <v>302</v>
      </c>
      <c r="C123" s="16"/>
      <c r="D123" s="171"/>
      <c r="E123" s="170"/>
      <c r="F123" s="171"/>
      <c r="G123" s="172" t="str">
        <f t="shared" si="4"/>
        <v/>
      </c>
      <c r="H123" s="171"/>
      <c r="I123" s="171"/>
      <c r="J123" s="173"/>
      <c r="K123" s="173"/>
      <c r="L123" s="174" t="str">
        <f t="shared" si="5"/>
        <v/>
      </c>
      <c r="M123" s="175"/>
    </row>
    <row r="124" spans="1:13" s="176" customFormat="1" ht="18" customHeight="1" x14ac:dyDescent="0.2">
      <c r="A124" s="169"/>
      <c r="B124" s="619" t="s">
        <v>302</v>
      </c>
      <c r="C124" s="16"/>
      <c r="D124" s="171"/>
      <c r="E124" s="170"/>
      <c r="F124" s="171"/>
      <c r="G124" s="172" t="str">
        <f t="shared" si="4"/>
        <v/>
      </c>
      <c r="H124" s="171"/>
      <c r="I124" s="171"/>
      <c r="J124" s="173"/>
      <c r="K124" s="173"/>
      <c r="L124" s="174" t="str">
        <f t="shared" si="5"/>
        <v/>
      </c>
      <c r="M124" s="175"/>
    </row>
    <row r="125" spans="1:13" s="176" customFormat="1" ht="18" customHeight="1" x14ac:dyDescent="0.2">
      <c r="A125" s="169"/>
      <c r="B125" s="619" t="s">
        <v>302</v>
      </c>
      <c r="C125" s="16"/>
      <c r="D125" s="171"/>
      <c r="E125" s="170"/>
      <c r="F125" s="171"/>
      <c r="G125" s="172" t="str">
        <f t="shared" si="4"/>
        <v/>
      </c>
      <c r="H125" s="171"/>
      <c r="I125" s="171"/>
      <c r="J125" s="173"/>
      <c r="K125" s="173"/>
      <c r="L125" s="174" t="str">
        <f t="shared" si="5"/>
        <v/>
      </c>
      <c r="M125" s="175"/>
    </row>
    <row r="126" spans="1:13" s="176" customFormat="1" ht="18" customHeight="1" x14ac:dyDescent="0.2">
      <c r="A126" s="169"/>
      <c r="B126" s="619" t="s">
        <v>302</v>
      </c>
      <c r="C126" s="16"/>
      <c r="D126" s="171"/>
      <c r="E126" s="170"/>
      <c r="F126" s="171"/>
      <c r="G126" s="172" t="str">
        <f t="shared" si="4"/>
        <v/>
      </c>
      <c r="H126" s="171"/>
      <c r="I126" s="171"/>
      <c r="J126" s="173"/>
      <c r="K126" s="173"/>
      <c r="L126" s="174" t="str">
        <f t="shared" si="5"/>
        <v/>
      </c>
      <c r="M126" s="175"/>
    </row>
    <row r="127" spans="1:13" s="176" customFormat="1" ht="18" customHeight="1" x14ac:dyDescent="0.2">
      <c r="A127" s="169"/>
      <c r="B127" s="619" t="s">
        <v>302</v>
      </c>
      <c r="C127" s="16"/>
      <c r="D127" s="171"/>
      <c r="E127" s="170"/>
      <c r="F127" s="171"/>
      <c r="G127" s="172" t="str">
        <f t="shared" si="4"/>
        <v/>
      </c>
      <c r="H127" s="171"/>
      <c r="I127" s="171"/>
      <c r="J127" s="173"/>
      <c r="K127" s="173"/>
      <c r="L127" s="174" t="str">
        <f t="shared" si="5"/>
        <v/>
      </c>
      <c r="M127" s="175"/>
    </row>
    <row r="128" spans="1:13" s="176" customFormat="1" ht="18" customHeight="1" x14ac:dyDescent="0.2">
      <c r="A128" s="169"/>
      <c r="B128" s="619" t="s">
        <v>302</v>
      </c>
      <c r="C128" s="16"/>
      <c r="D128" s="171"/>
      <c r="E128" s="170"/>
      <c r="F128" s="171"/>
      <c r="G128" s="172" t="str">
        <f t="shared" si="4"/>
        <v/>
      </c>
      <c r="H128" s="171"/>
      <c r="I128" s="171"/>
      <c r="J128" s="173"/>
      <c r="K128" s="173"/>
      <c r="L128" s="174" t="str">
        <f t="shared" si="5"/>
        <v/>
      </c>
      <c r="M128" s="175"/>
    </row>
    <row r="129" spans="1:13" s="176" customFormat="1" ht="18" customHeight="1" x14ac:dyDescent="0.2">
      <c r="A129" s="169"/>
      <c r="B129" s="619" t="s">
        <v>302</v>
      </c>
      <c r="C129" s="16"/>
      <c r="D129" s="171"/>
      <c r="E129" s="170"/>
      <c r="F129" s="171"/>
      <c r="G129" s="172" t="str">
        <f t="shared" si="4"/>
        <v/>
      </c>
      <c r="H129" s="171"/>
      <c r="I129" s="171"/>
      <c r="J129" s="173"/>
      <c r="K129" s="173"/>
      <c r="L129" s="174" t="str">
        <f t="shared" si="5"/>
        <v/>
      </c>
      <c r="M129" s="175"/>
    </row>
    <row r="130" spans="1:13" s="176" customFormat="1" ht="18.75" customHeight="1" x14ac:dyDescent="0.2">
      <c r="A130" s="169"/>
      <c r="B130" s="619" t="s">
        <v>302</v>
      </c>
      <c r="C130" s="415"/>
      <c r="D130" s="171"/>
      <c r="E130" s="170"/>
      <c r="F130" s="171"/>
      <c r="G130" s="172" t="str">
        <f t="shared" si="4"/>
        <v/>
      </c>
      <c r="H130" s="171"/>
      <c r="I130" s="171"/>
      <c r="J130" s="173"/>
      <c r="K130" s="173"/>
      <c r="L130" s="174" t="str">
        <f t="shared" si="5"/>
        <v/>
      </c>
      <c r="M130" s="175"/>
    </row>
    <row r="131" spans="1:13" s="176" customFormat="1" ht="22.5" customHeight="1" x14ac:dyDescent="0.2">
      <c r="A131" s="169"/>
      <c r="B131" s="619" t="s">
        <v>305</v>
      </c>
      <c r="C131" s="415"/>
      <c r="D131" s="171"/>
      <c r="E131" s="170"/>
      <c r="F131" s="171"/>
      <c r="G131" s="172" t="str">
        <f t="shared" si="4"/>
        <v/>
      </c>
      <c r="H131" s="171"/>
      <c r="I131" s="171"/>
      <c r="J131" s="173"/>
      <c r="K131" s="173"/>
      <c r="L131" s="174" t="str">
        <f t="shared" si="5"/>
        <v/>
      </c>
      <c r="M131" s="175"/>
    </row>
    <row r="132" spans="1:13" s="176" customFormat="1" ht="22.5" customHeight="1" x14ac:dyDescent="0.2">
      <c r="A132" s="169"/>
      <c r="B132" s="619" t="s">
        <v>305</v>
      </c>
      <c r="C132" s="415"/>
      <c r="D132" s="171"/>
      <c r="E132" s="170"/>
      <c r="F132" s="171"/>
      <c r="G132" s="172" t="str">
        <f t="shared" si="4"/>
        <v/>
      </c>
      <c r="H132" s="171"/>
      <c r="I132" s="171"/>
      <c r="J132" s="173"/>
      <c r="K132" s="173"/>
      <c r="L132" s="174" t="str">
        <f t="shared" si="5"/>
        <v/>
      </c>
      <c r="M132" s="175"/>
    </row>
    <row r="133" spans="1:13" s="176" customFormat="1" ht="22.5" customHeight="1" x14ac:dyDescent="0.2">
      <c r="A133" s="169"/>
      <c r="B133" s="619" t="s">
        <v>305</v>
      </c>
      <c r="C133" s="415"/>
      <c r="D133" s="171"/>
      <c r="E133" s="170"/>
      <c r="F133" s="171"/>
      <c r="G133" s="172" t="str">
        <f t="shared" si="4"/>
        <v/>
      </c>
      <c r="H133" s="171"/>
      <c r="I133" s="171"/>
      <c r="J133" s="173"/>
      <c r="K133" s="173"/>
      <c r="L133" s="174" t="str">
        <f t="shared" si="5"/>
        <v/>
      </c>
      <c r="M133" s="175"/>
    </row>
    <row r="134" spans="1:13" s="176" customFormat="1" ht="22.5" customHeight="1" x14ac:dyDescent="0.2">
      <c r="A134" s="169"/>
      <c r="B134" s="619" t="s">
        <v>305</v>
      </c>
      <c r="C134" s="415"/>
      <c r="D134" s="171"/>
      <c r="E134" s="170"/>
      <c r="F134" s="171"/>
      <c r="G134" s="172" t="str">
        <f t="shared" si="4"/>
        <v/>
      </c>
      <c r="H134" s="171"/>
      <c r="I134" s="171"/>
      <c r="J134" s="173"/>
      <c r="K134" s="173"/>
      <c r="L134" s="174" t="str">
        <f t="shared" si="5"/>
        <v/>
      </c>
      <c r="M134" s="175"/>
    </row>
    <row r="135" spans="1:13" s="176" customFormat="1" ht="22.5" customHeight="1" x14ac:dyDescent="0.2">
      <c r="A135" s="169"/>
      <c r="B135" s="619" t="s">
        <v>305</v>
      </c>
      <c r="C135" s="415"/>
      <c r="D135" s="171"/>
      <c r="E135" s="170"/>
      <c r="F135" s="171"/>
      <c r="G135" s="172" t="str">
        <f t="shared" si="4"/>
        <v/>
      </c>
      <c r="H135" s="171"/>
      <c r="I135" s="171"/>
      <c r="J135" s="173"/>
      <c r="K135" s="173"/>
      <c r="L135" s="174" t="str">
        <f t="shared" si="5"/>
        <v/>
      </c>
      <c r="M135" s="175"/>
    </row>
    <row r="136" spans="1:13" s="176" customFormat="1" ht="22.5" customHeight="1" x14ac:dyDescent="0.2">
      <c r="A136" s="169"/>
      <c r="B136" s="619" t="s">
        <v>305</v>
      </c>
      <c r="C136" s="415"/>
      <c r="D136" s="171"/>
      <c r="E136" s="170"/>
      <c r="F136" s="171"/>
      <c r="G136" s="172" t="str">
        <f t="shared" si="4"/>
        <v/>
      </c>
      <c r="H136" s="171"/>
      <c r="I136" s="171"/>
      <c r="J136" s="173"/>
      <c r="K136" s="173"/>
      <c r="L136" s="174" t="str">
        <f t="shared" si="5"/>
        <v/>
      </c>
      <c r="M136" s="175"/>
    </row>
    <row r="137" spans="1:13" s="176" customFormat="1" ht="22.5" customHeight="1" x14ac:dyDescent="0.2">
      <c r="A137" s="169"/>
      <c r="B137" s="619" t="s">
        <v>305</v>
      </c>
      <c r="C137" s="415"/>
      <c r="D137" s="171"/>
      <c r="E137" s="170"/>
      <c r="F137" s="171"/>
      <c r="G137" s="172" t="str">
        <f t="shared" si="4"/>
        <v/>
      </c>
      <c r="H137" s="171"/>
      <c r="I137" s="171"/>
      <c r="J137" s="173"/>
      <c r="K137" s="173"/>
      <c r="L137" s="174" t="str">
        <f t="shared" si="5"/>
        <v/>
      </c>
      <c r="M137" s="175"/>
    </row>
    <row r="138" spans="1:13" s="176" customFormat="1" ht="22.5" customHeight="1" x14ac:dyDescent="0.2">
      <c r="A138" s="169"/>
      <c r="B138" s="619" t="s">
        <v>305</v>
      </c>
      <c r="C138" s="415"/>
      <c r="D138" s="171"/>
      <c r="E138" s="170"/>
      <c r="F138" s="171"/>
      <c r="G138" s="172" t="str">
        <f t="shared" si="4"/>
        <v/>
      </c>
      <c r="H138" s="171"/>
      <c r="I138" s="171"/>
      <c r="J138" s="173"/>
      <c r="K138" s="173"/>
      <c r="L138" s="174" t="str">
        <f t="shared" si="5"/>
        <v/>
      </c>
      <c r="M138" s="175"/>
    </row>
    <row r="139" spans="1:13" s="176" customFormat="1" ht="18" customHeight="1" x14ac:dyDescent="0.2">
      <c r="A139" s="169"/>
      <c r="B139" s="619" t="s">
        <v>305</v>
      </c>
      <c r="C139" s="415"/>
      <c r="D139" s="171"/>
      <c r="E139" s="170"/>
      <c r="F139" s="171"/>
      <c r="G139" s="172" t="str">
        <f t="shared" si="4"/>
        <v/>
      </c>
      <c r="H139" s="171"/>
      <c r="I139" s="171"/>
      <c r="J139" s="173"/>
      <c r="K139" s="173"/>
      <c r="L139" s="174" t="str">
        <f t="shared" si="5"/>
        <v/>
      </c>
      <c r="M139" s="175"/>
    </row>
    <row r="140" spans="1:13" s="176" customFormat="1" ht="19.5" customHeight="1" x14ac:dyDescent="0.2">
      <c r="A140" s="169"/>
      <c r="B140" s="619" t="s">
        <v>305</v>
      </c>
      <c r="C140" s="15"/>
      <c r="D140" s="171"/>
      <c r="E140" s="170"/>
      <c r="F140" s="171"/>
      <c r="G140" s="172" t="str">
        <f t="shared" si="4"/>
        <v/>
      </c>
      <c r="H140" s="171"/>
      <c r="I140" s="171"/>
      <c r="J140" s="173"/>
      <c r="K140" s="173"/>
      <c r="L140" s="174" t="str">
        <f t="shared" si="5"/>
        <v/>
      </c>
      <c r="M140" s="175"/>
    </row>
    <row r="141" spans="1:13" x14ac:dyDescent="0.2">
      <c r="A141" s="36"/>
      <c r="B141" s="60"/>
      <c r="C141" s="60"/>
      <c r="D141" s="38"/>
      <c r="E141" s="38"/>
      <c r="F141" s="40"/>
      <c r="G141" s="38"/>
      <c r="H141" s="38"/>
      <c r="I141" s="38"/>
      <c r="J141" s="78"/>
      <c r="K141" s="62" t="s">
        <v>309</v>
      </c>
      <c r="L141" s="61">
        <f>SUM(L91:L140)</f>
        <v>998391.95499520015</v>
      </c>
      <c r="M141" s="45"/>
    </row>
    <row r="142" spans="1:13" ht="7.9" customHeight="1" x14ac:dyDescent="0.2">
      <c r="A142" s="63"/>
      <c r="B142" s="64"/>
      <c r="C142" s="64"/>
      <c r="D142" s="65"/>
      <c r="E142" s="65"/>
      <c r="F142" s="66"/>
      <c r="G142" s="65"/>
      <c r="H142" s="65"/>
      <c r="I142" s="65"/>
      <c r="J142" s="65"/>
      <c r="K142" s="67"/>
      <c r="L142" s="68"/>
      <c r="M142" s="69"/>
    </row>
    <row r="143" spans="1:13" ht="18" x14ac:dyDescent="0.25">
      <c r="A143" s="30"/>
      <c r="B143" s="70"/>
      <c r="C143" s="70"/>
      <c r="D143" s="32"/>
      <c r="E143" s="32"/>
      <c r="F143" s="32"/>
      <c r="G143" s="32"/>
      <c r="H143" s="32"/>
      <c r="I143" s="32"/>
      <c r="J143" s="32"/>
      <c r="K143" s="33"/>
      <c r="L143" s="33"/>
      <c r="M143" s="71"/>
    </row>
    <row r="144" spans="1:13" ht="15" customHeight="1" x14ac:dyDescent="0.25">
      <c r="A144" s="36"/>
      <c r="B144" s="767" t="str">
        <f>B2</f>
        <v>Shoalhaven City Council</v>
      </c>
      <c r="C144" s="768"/>
      <c r="D144" s="768"/>
      <c r="E144" s="768"/>
      <c r="F144" s="769"/>
      <c r="G144" s="42"/>
      <c r="H144" s="42"/>
      <c r="I144" s="42"/>
      <c r="J144" s="38"/>
      <c r="K144" s="39"/>
      <c r="L144" s="40"/>
      <c r="M144" s="48"/>
    </row>
    <row r="145" spans="1:13" ht="24" customHeight="1" x14ac:dyDescent="0.35">
      <c r="A145" s="36"/>
      <c r="B145" s="72"/>
      <c r="C145" s="774" t="s">
        <v>83</v>
      </c>
      <c r="D145" s="774"/>
      <c r="E145" s="774"/>
      <c r="F145" s="774"/>
      <c r="G145" s="774"/>
      <c r="H145" s="774"/>
      <c r="I145" s="774"/>
      <c r="J145" s="774"/>
      <c r="K145" s="774"/>
      <c r="L145" s="76"/>
      <c r="M145" s="46"/>
    </row>
    <row r="146" spans="1:13" x14ac:dyDescent="0.2">
      <c r="A146" s="36"/>
      <c r="B146" s="47"/>
      <c r="C146" s="47"/>
      <c r="D146" s="42"/>
      <c r="E146" s="42"/>
      <c r="F146" s="42"/>
      <c r="G146" s="42"/>
      <c r="H146" s="42"/>
      <c r="I146" s="42"/>
      <c r="J146" s="38"/>
      <c r="K146" s="39"/>
      <c r="L146" s="39"/>
      <c r="M146" s="48"/>
    </row>
    <row r="147" spans="1:13" ht="63.75" customHeight="1" x14ac:dyDescent="0.2">
      <c r="A147" s="51"/>
      <c r="B147" s="775" t="s">
        <v>84</v>
      </c>
      <c r="C147" s="776"/>
      <c r="D147" s="776"/>
      <c r="E147" s="776"/>
      <c r="F147" s="776"/>
      <c r="G147" s="776"/>
      <c r="H147" s="776"/>
      <c r="I147" s="777"/>
      <c r="J147" s="79" t="s">
        <v>85</v>
      </c>
      <c r="K147" s="77" t="s">
        <v>86</v>
      </c>
      <c r="L147" s="430" t="s">
        <v>464</v>
      </c>
      <c r="M147" s="45"/>
    </row>
    <row r="148" spans="1:13" x14ac:dyDescent="0.2">
      <c r="A148" s="36"/>
      <c r="B148" s="764"/>
      <c r="C148" s="765"/>
      <c r="D148" s="765"/>
      <c r="E148" s="765"/>
      <c r="F148" s="765"/>
      <c r="G148" s="765"/>
      <c r="H148" s="765"/>
      <c r="I148" s="766"/>
      <c r="J148" s="20"/>
      <c r="K148" s="20"/>
      <c r="L148" s="80" t="str">
        <f>IF(B148="","",J148*K148)</f>
        <v/>
      </c>
      <c r="M148" s="45"/>
    </row>
    <row r="149" spans="1:13" x14ac:dyDescent="0.2">
      <c r="A149" s="36"/>
      <c r="B149" s="764"/>
      <c r="C149" s="765"/>
      <c r="D149" s="765"/>
      <c r="E149" s="765"/>
      <c r="F149" s="765"/>
      <c r="G149" s="765"/>
      <c r="H149" s="765"/>
      <c r="I149" s="766"/>
      <c r="J149" s="20"/>
      <c r="K149" s="20"/>
      <c r="L149" s="80" t="str">
        <f t="shared" ref="L149:L155" si="6">IF(B149="","",J149*K149)</f>
        <v/>
      </c>
      <c r="M149" s="45"/>
    </row>
    <row r="150" spans="1:13" x14ac:dyDescent="0.2">
      <c r="A150" s="36"/>
      <c r="B150" s="764"/>
      <c r="C150" s="765"/>
      <c r="D150" s="765"/>
      <c r="E150" s="765"/>
      <c r="F150" s="765"/>
      <c r="G150" s="765"/>
      <c r="H150" s="765"/>
      <c r="I150" s="766"/>
      <c r="J150" s="20"/>
      <c r="K150" s="20"/>
      <c r="L150" s="80" t="str">
        <f t="shared" si="6"/>
        <v/>
      </c>
      <c r="M150" s="45"/>
    </row>
    <row r="151" spans="1:13" x14ac:dyDescent="0.2">
      <c r="A151" s="36"/>
      <c r="B151" s="764"/>
      <c r="C151" s="765"/>
      <c r="D151" s="765"/>
      <c r="E151" s="765"/>
      <c r="F151" s="765"/>
      <c r="G151" s="765"/>
      <c r="H151" s="765"/>
      <c r="I151" s="766"/>
      <c r="J151" s="20"/>
      <c r="K151" s="20"/>
      <c r="L151" s="80" t="str">
        <f t="shared" si="6"/>
        <v/>
      </c>
      <c r="M151" s="45"/>
    </row>
    <row r="152" spans="1:13" x14ac:dyDescent="0.2">
      <c r="A152" s="36"/>
      <c r="B152" s="764"/>
      <c r="C152" s="765"/>
      <c r="D152" s="765"/>
      <c r="E152" s="765"/>
      <c r="F152" s="765"/>
      <c r="G152" s="765"/>
      <c r="H152" s="765"/>
      <c r="I152" s="766"/>
      <c r="J152" s="20"/>
      <c r="K152" s="20"/>
      <c r="L152" s="80" t="str">
        <f t="shared" si="6"/>
        <v/>
      </c>
      <c r="M152" s="45"/>
    </row>
    <row r="153" spans="1:13" x14ac:dyDescent="0.2">
      <c r="A153" s="36"/>
      <c r="B153" s="764"/>
      <c r="C153" s="765"/>
      <c r="D153" s="765"/>
      <c r="E153" s="765"/>
      <c r="F153" s="765"/>
      <c r="G153" s="765"/>
      <c r="H153" s="765"/>
      <c r="I153" s="766"/>
      <c r="J153" s="20"/>
      <c r="K153" s="20"/>
      <c r="L153" s="80" t="str">
        <f t="shared" si="6"/>
        <v/>
      </c>
      <c r="M153" s="45"/>
    </row>
    <row r="154" spans="1:13" x14ac:dyDescent="0.2">
      <c r="A154" s="36"/>
      <c r="B154" s="764"/>
      <c r="C154" s="765"/>
      <c r="D154" s="765"/>
      <c r="E154" s="765"/>
      <c r="F154" s="765"/>
      <c r="G154" s="765"/>
      <c r="H154" s="765"/>
      <c r="I154" s="766"/>
      <c r="J154" s="20"/>
      <c r="K154" s="20"/>
      <c r="L154" s="80" t="str">
        <f t="shared" si="6"/>
        <v/>
      </c>
      <c r="M154" s="45"/>
    </row>
    <row r="155" spans="1:13" x14ac:dyDescent="0.2">
      <c r="A155" s="36"/>
      <c r="B155" s="764"/>
      <c r="C155" s="765"/>
      <c r="D155" s="765"/>
      <c r="E155" s="765"/>
      <c r="F155" s="765"/>
      <c r="G155" s="765"/>
      <c r="H155" s="765"/>
      <c r="I155" s="766"/>
      <c r="J155" s="20"/>
      <c r="K155" s="20"/>
      <c r="L155" s="80" t="str">
        <f t="shared" si="6"/>
        <v/>
      </c>
      <c r="M155" s="45"/>
    </row>
    <row r="156" spans="1:13" x14ac:dyDescent="0.2">
      <c r="A156" s="36"/>
      <c r="B156" s="60"/>
      <c r="C156" s="60"/>
      <c r="D156" s="38"/>
      <c r="E156" s="38"/>
      <c r="F156" s="40"/>
      <c r="G156" s="38"/>
      <c r="H156" s="38"/>
      <c r="I156" s="38"/>
      <c r="J156" s="62"/>
      <c r="K156" s="62" t="s">
        <v>309</v>
      </c>
      <c r="L156" s="61">
        <f>SUM(L148:L155)</f>
        <v>0</v>
      </c>
      <c r="M156" s="45"/>
    </row>
    <row r="157" spans="1:13" ht="9" customHeight="1" x14ac:dyDescent="0.2">
      <c r="A157" s="36"/>
      <c r="B157" s="60"/>
      <c r="C157" s="60"/>
      <c r="D157" s="38"/>
      <c r="E157" s="38"/>
      <c r="F157" s="40"/>
      <c r="G157" s="38"/>
      <c r="H157" s="38"/>
      <c r="I157" s="38"/>
      <c r="J157" s="38"/>
      <c r="K157" s="78"/>
      <c r="L157" s="62"/>
      <c r="M157" s="85"/>
    </row>
    <row r="158" spans="1:13" ht="6.75" customHeight="1" x14ac:dyDescent="0.2">
      <c r="A158" s="36"/>
      <c r="B158" s="38"/>
      <c r="C158" s="38"/>
      <c r="D158" s="38"/>
      <c r="E158" s="38"/>
      <c r="F158" s="40"/>
      <c r="G158" s="38"/>
      <c r="H158" s="38"/>
      <c r="I158" s="38"/>
      <c r="J158" s="38"/>
      <c r="K158" s="78"/>
      <c r="L158" s="62"/>
      <c r="M158" s="85"/>
    </row>
    <row r="159" spans="1:13" ht="15.75" x14ac:dyDescent="0.25">
      <c r="A159" s="36"/>
      <c r="B159" s="38"/>
      <c r="C159" s="38"/>
      <c r="D159" s="38"/>
      <c r="E159" s="38"/>
      <c r="F159" s="196" t="s">
        <v>465</v>
      </c>
      <c r="G159" s="81"/>
      <c r="H159" s="81"/>
      <c r="I159" s="82"/>
      <c r="J159" s="83"/>
      <c r="K159" s="778">
        <f>S2_Ordinary_Rates_Sub_Total+S2_Special_Rates_Sub_Total+S2_Annual_Charges_Sub_Total</f>
        <v>58926373.491176397</v>
      </c>
      <c r="L159" s="779"/>
      <c r="M159" s="45"/>
    </row>
    <row r="160" spans="1:13" x14ac:dyDescent="0.2">
      <c r="A160" s="36"/>
      <c r="B160" s="38"/>
      <c r="C160" s="38"/>
      <c r="D160" s="38"/>
      <c r="E160" s="38"/>
      <c r="F160" s="40"/>
      <c r="G160" s="38"/>
      <c r="H160" s="38"/>
      <c r="I160" s="38"/>
      <c r="J160" s="78"/>
      <c r="K160" s="86"/>
      <c r="L160" s="87"/>
      <c r="M160" s="45"/>
    </row>
    <row r="161" spans="1:23" ht="15.75" x14ac:dyDescent="0.25">
      <c r="A161" s="36"/>
      <c r="B161" s="38"/>
      <c r="C161" s="38"/>
      <c r="D161" s="38"/>
      <c r="E161" s="38"/>
      <c r="F161" s="81" t="s">
        <v>312</v>
      </c>
      <c r="G161" s="82"/>
      <c r="H161" s="82"/>
      <c r="I161" s="82"/>
      <c r="J161" s="83"/>
      <c r="K161" s="82"/>
      <c r="L161" s="82"/>
      <c r="M161" s="45"/>
    </row>
    <row r="162" spans="1:23" ht="15.75" x14ac:dyDescent="0.25">
      <c r="A162" s="36"/>
      <c r="B162" s="38"/>
      <c r="C162" s="38"/>
      <c r="D162" s="38"/>
      <c r="E162" s="38"/>
      <c r="F162" s="81"/>
      <c r="G162" s="84" t="s">
        <v>89</v>
      </c>
      <c r="H162" s="82"/>
      <c r="I162" s="82"/>
      <c r="J162" s="83"/>
      <c r="K162" s="780"/>
      <c r="L162" s="781"/>
      <c r="M162" s="45"/>
      <c r="W162" s="683"/>
    </row>
    <row r="163" spans="1:23" x14ac:dyDescent="0.2">
      <c r="A163" s="36"/>
      <c r="B163" s="38"/>
      <c r="C163" s="38"/>
      <c r="D163" s="38"/>
      <c r="E163" s="38"/>
      <c r="F163" s="40"/>
      <c r="G163" s="38"/>
      <c r="H163" s="38"/>
      <c r="I163" s="38"/>
      <c r="J163" s="78"/>
      <c r="K163" s="86"/>
      <c r="L163" s="87"/>
      <c r="M163" s="45"/>
    </row>
    <row r="164" spans="1:23" ht="18" x14ac:dyDescent="0.25">
      <c r="A164" s="36"/>
      <c r="B164" s="38"/>
      <c r="C164" s="38"/>
      <c r="D164" s="38"/>
      <c r="E164" s="38"/>
      <c r="F164" s="37" t="s">
        <v>466</v>
      </c>
      <c r="G164" s="82"/>
      <c r="H164" s="82"/>
      <c r="I164" s="82"/>
      <c r="J164" s="83"/>
      <c r="K164" s="782">
        <f>Total_First_year_Notional_General_Income_Yield+K162</f>
        <v>58926373.491176397</v>
      </c>
      <c r="L164" s="783"/>
      <c r="M164" s="45"/>
      <c r="W164" s="684"/>
    </row>
    <row r="165" spans="1:23" x14ac:dyDescent="0.2">
      <c r="A165" s="36"/>
      <c r="B165" s="38"/>
      <c r="C165" s="38"/>
      <c r="D165" s="38"/>
      <c r="E165" s="38"/>
      <c r="F165" s="40"/>
      <c r="G165" s="38"/>
      <c r="H165" s="38"/>
      <c r="I165" s="38"/>
      <c r="J165" s="78"/>
      <c r="K165" s="86"/>
      <c r="L165" s="89"/>
      <c r="M165" s="45"/>
    </row>
    <row r="166" spans="1:23" x14ac:dyDescent="0.2">
      <c r="A166" s="36"/>
      <c r="B166" s="60"/>
      <c r="C166" s="60"/>
      <c r="D166" s="38"/>
      <c r="E166" s="38"/>
      <c r="F166" s="40"/>
      <c r="G166" s="38"/>
      <c r="H166" s="38"/>
      <c r="I166" s="38"/>
      <c r="J166" s="38"/>
      <c r="K166" s="78"/>
      <c r="L166" s="62"/>
      <c r="M166" s="85"/>
    </row>
    <row r="167" spans="1:23" x14ac:dyDescent="0.2">
      <c r="A167" s="36"/>
      <c r="B167" s="59" t="s">
        <v>310</v>
      </c>
      <c r="C167" s="59"/>
      <c r="D167" s="38"/>
      <c r="E167" s="38"/>
      <c r="F167" s="40"/>
      <c r="G167" s="38"/>
      <c r="H167" s="38"/>
      <c r="I167" s="38"/>
      <c r="J167" s="38"/>
      <c r="K167" s="78"/>
      <c r="L167" s="62"/>
      <c r="M167" s="85"/>
    </row>
    <row r="168" spans="1:23" x14ac:dyDescent="0.2">
      <c r="A168" s="63"/>
      <c r="B168" s="65"/>
      <c r="C168" s="65"/>
      <c r="D168" s="65"/>
      <c r="E168" s="65"/>
      <c r="F168" s="65"/>
      <c r="G168" s="65"/>
      <c r="H168" s="65"/>
      <c r="I168" s="65"/>
      <c r="J168" s="65"/>
      <c r="K168" s="90"/>
      <c r="L168" s="90"/>
      <c r="M168" s="88"/>
    </row>
    <row r="169" spans="1:23" x14ac:dyDescent="0.2">
      <c r="A169" s="21"/>
      <c r="B169" s="21"/>
    </row>
    <row r="170" spans="1:23" x14ac:dyDescent="0.2">
      <c r="A170" s="21"/>
      <c r="B170" s="21"/>
    </row>
    <row r="171" spans="1:23" x14ac:dyDescent="0.2">
      <c r="A171" s="21"/>
      <c r="B171" s="21"/>
    </row>
    <row r="172" spans="1:23" x14ac:dyDescent="0.2">
      <c r="A172" s="21"/>
      <c r="B172" s="21"/>
    </row>
    <row r="173" spans="1:23" x14ac:dyDescent="0.2">
      <c r="A173" s="21"/>
      <c r="B173" s="21"/>
    </row>
    <row r="174" spans="1:23" x14ac:dyDescent="0.2">
      <c r="A174" s="21"/>
      <c r="B174" s="21"/>
    </row>
  </sheetData>
  <sheetProtection password="C234" sheet="1"/>
  <mergeCells count="21">
    <mergeCell ref="B144:F144"/>
    <mergeCell ref="B2:F2"/>
    <mergeCell ref="C87:K87"/>
    <mergeCell ref="B4:L4"/>
    <mergeCell ref="B6:L6"/>
    <mergeCell ref="B8:L8"/>
    <mergeCell ref="B86:F86"/>
    <mergeCell ref="C9:K9"/>
    <mergeCell ref="B151:I151"/>
    <mergeCell ref="B149:I149"/>
    <mergeCell ref="B150:I150"/>
    <mergeCell ref="C145:K145"/>
    <mergeCell ref="B148:I148"/>
    <mergeCell ref="B147:I147"/>
    <mergeCell ref="K159:L159"/>
    <mergeCell ref="K162:L162"/>
    <mergeCell ref="K164:L164"/>
    <mergeCell ref="B152:I152"/>
    <mergeCell ref="B153:I153"/>
    <mergeCell ref="B154:I154"/>
    <mergeCell ref="B155:I155"/>
  </mergeCells>
  <phoneticPr fontId="3" type="noConversion"/>
  <dataValidations xWindow="554" yWindow="798" count="7">
    <dataValidation type="whole" allowBlank="1" showInputMessage="1" showErrorMessage="1" errorTitle="Invalid number" error="This amount MUST be a negative whole number." promptTitle="Valuation Objections" prompt="_x000a_If Council has exceeded its Permissible Income to recover income lost due to valuation objections, notional yield should be adjusted by that amount._x000a__x000a_Note: This adjustment will reduce Council's income yield and should be entered as a negative number." sqref="K162:L162">
      <formula1>-10000000</formula1>
      <formula2>0</formula2>
    </dataValidation>
    <dataValidation allowBlank="1" showErrorMessage="1" promptTitle="Note:" prompt="Do not forget to enter base date at the top of this form._x000a_" sqref="K159:L159"/>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72:C80 C82">
      <formula1>NOT(ISBLANK(B72))</formula1>
    </dataValidation>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1:F80 F82 F13:F32 F34:F58 F60:F69 F91:F140"/>
    <dataValidation allowBlank="1" showInputMessage="1" showErrorMessage="1" promptTitle="Note:" prompt="Total land value includes all rateable parcels including those parcels subject to a minimum." sqref="J91:J140 J13:J32 J34:J58 J60:J69 J71:J80 J82"/>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1:E140 E82 E34:E58 E13:E32 E60:E69 E71:E80"/>
    <dataValidation allowBlank="1" showInputMessage="1" showErrorMessage="1" promptTitle="Note:" prompt="Please enter Minimum, Ad Valorem Rate and Base Amount for this rating category/sub-category on the same row." sqref="H91:H140 H13:H32 H34:H58 H60:H69 H71:H80 H82"/>
  </dataValidations>
  <printOptions horizontalCentered="1"/>
  <pageMargins left="0.74803149606299213" right="0.74803149606299213" top="0.15748031496062992" bottom="0.15748031496062992" header="0.15748031496062992" footer="0.15748031496062992"/>
  <pageSetup paperSize="9" scale="87" fitToHeight="0" orientation="landscape" r:id="rId1"/>
  <headerFooter alignWithMargins="0"/>
  <rowBreaks count="2" manualBreakCount="2">
    <brk id="84" max="16383" man="1"/>
    <brk id="14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topLeftCell="A22" zoomScale="115" zoomScaleNormal="115" workbookViewId="0">
      <selection activeCell="J102" sqref="J102"/>
    </sheetView>
  </sheetViews>
  <sheetFormatPr defaultRowHeight="12" x14ac:dyDescent="0.2"/>
  <cols>
    <col min="1" max="1" width="2.85546875" customWidth="1"/>
    <col min="2" max="2" width="14.42578125" customWidth="1"/>
    <col min="3" max="3" width="12.42578125" customWidth="1"/>
    <col min="4" max="5" width="15.28515625" customWidth="1"/>
    <col min="6" max="6" width="18.140625" customWidth="1"/>
    <col min="7" max="7" width="4.42578125" customWidth="1"/>
    <col min="8" max="8" width="23.7109375" customWidth="1"/>
    <col min="9" max="9" width="5.7109375" customWidth="1"/>
    <col min="12" max="12" width="13.7109375" bestFit="1" customWidth="1"/>
  </cols>
  <sheetData>
    <row r="1" spans="1:9" ht="12" customHeight="1" x14ac:dyDescent="0.2">
      <c r="A1" s="299"/>
      <c r="B1" s="300"/>
      <c r="C1" s="300"/>
      <c r="D1" s="300"/>
      <c r="E1" s="300"/>
      <c r="F1" s="300"/>
      <c r="G1" s="300"/>
      <c r="H1" s="300"/>
      <c r="I1" s="301"/>
    </row>
    <row r="2" spans="1:9" ht="15.75" x14ac:dyDescent="0.2">
      <c r="A2" s="105"/>
      <c r="B2" s="788" t="str">
        <f>'WK1 - Identification'!E11</f>
        <v>Shoalhaven City Council</v>
      </c>
      <c r="C2" s="789"/>
      <c r="D2" s="789"/>
      <c r="E2" s="789"/>
      <c r="F2" s="790"/>
      <c r="G2" s="29"/>
      <c r="H2" s="221"/>
      <c r="I2" s="116"/>
    </row>
    <row r="3" spans="1:9" ht="12" customHeight="1" x14ac:dyDescent="0.2">
      <c r="A3" s="105"/>
      <c r="B3" s="82"/>
      <c r="C3" s="82"/>
      <c r="D3" s="82"/>
      <c r="E3" s="82"/>
      <c r="F3" s="82"/>
      <c r="G3" s="82"/>
      <c r="H3" s="82"/>
      <c r="I3" s="116"/>
    </row>
    <row r="4" spans="1:9" ht="26.25" x14ac:dyDescent="0.4">
      <c r="A4" s="105"/>
      <c r="B4" s="787" t="s">
        <v>313</v>
      </c>
      <c r="C4" s="787"/>
      <c r="D4" s="787"/>
      <c r="E4" s="787"/>
      <c r="F4" s="787"/>
      <c r="G4" s="787"/>
      <c r="H4" s="787"/>
      <c r="I4" s="116"/>
    </row>
    <row r="5" spans="1:9" ht="12" customHeight="1" x14ac:dyDescent="0.2">
      <c r="A5" s="105"/>
      <c r="B5" s="82"/>
      <c r="C5" s="82"/>
      <c r="D5" s="82"/>
      <c r="E5" s="82"/>
      <c r="F5" s="82"/>
      <c r="G5" s="82"/>
      <c r="H5" s="82"/>
      <c r="I5" s="116"/>
    </row>
    <row r="6" spans="1:9" ht="23.25" x14ac:dyDescent="0.35">
      <c r="A6" s="105"/>
      <c r="B6" s="791" t="s">
        <v>852</v>
      </c>
      <c r="C6" s="791"/>
      <c r="D6" s="791"/>
      <c r="E6" s="791"/>
      <c r="F6" s="791"/>
      <c r="G6" s="791"/>
      <c r="H6" s="791"/>
      <c r="I6" s="116"/>
    </row>
    <row r="7" spans="1:9" ht="26.25" customHeight="1" x14ac:dyDescent="0.25">
      <c r="A7" s="393"/>
      <c r="B7" s="329" t="s">
        <v>742</v>
      </c>
      <c r="C7" s="118"/>
      <c r="D7" s="118"/>
      <c r="E7" s="118"/>
      <c r="F7" s="118"/>
      <c r="G7" s="118"/>
      <c r="H7" s="118"/>
      <c r="I7" s="116"/>
    </row>
    <row r="8" spans="1:9" ht="16.5" customHeight="1" x14ac:dyDescent="0.25">
      <c r="A8" s="105"/>
      <c r="B8" s="792" t="s">
        <v>524</v>
      </c>
      <c r="C8" s="752"/>
      <c r="D8" s="752"/>
      <c r="E8" s="752"/>
      <c r="F8" s="752"/>
      <c r="G8" s="752"/>
      <c r="H8" s="752"/>
      <c r="I8" s="116"/>
    </row>
    <row r="9" spans="1:9" ht="26.25" customHeight="1" x14ac:dyDescent="0.2">
      <c r="A9" s="105"/>
      <c r="B9" s="82" t="s">
        <v>90</v>
      </c>
      <c r="C9" s="82"/>
      <c r="D9" s="82"/>
      <c r="E9" s="82"/>
      <c r="F9" s="82"/>
      <c r="G9" s="82"/>
      <c r="H9" s="302">
        <f>Total_Prior_year_Notional_General_Income</f>
        <v>56720696.569452003</v>
      </c>
      <c r="I9" s="116"/>
    </row>
    <row r="10" spans="1:9" ht="8.1" customHeight="1" x14ac:dyDescent="0.2">
      <c r="A10" s="105"/>
      <c r="B10" s="82"/>
      <c r="C10" s="82"/>
      <c r="D10" s="82"/>
      <c r="E10" s="82"/>
      <c r="F10" s="82"/>
      <c r="G10" s="82"/>
      <c r="H10" s="82"/>
      <c r="I10" s="116"/>
    </row>
    <row r="11" spans="1:9" ht="15.75" x14ac:dyDescent="0.25">
      <c r="A11" s="105"/>
      <c r="B11" s="84" t="s">
        <v>314</v>
      </c>
      <c r="C11" s="82" t="s">
        <v>787</v>
      </c>
      <c r="D11" s="82"/>
      <c r="E11" s="82"/>
      <c r="F11" s="82"/>
      <c r="G11" s="82"/>
      <c r="H11" s="302">
        <f>'WK1 - Identification'!J44</f>
        <v>0</v>
      </c>
      <c r="I11" s="116"/>
    </row>
    <row r="12" spans="1:9" ht="17.25" customHeight="1" x14ac:dyDescent="0.2">
      <c r="A12" s="105"/>
      <c r="B12" s="82"/>
      <c r="C12" s="82"/>
      <c r="D12" s="82"/>
      <c r="E12" s="82"/>
      <c r="F12" s="82"/>
      <c r="G12" s="82"/>
      <c r="H12" s="82"/>
      <c r="I12" s="116"/>
    </row>
    <row r="13" spans="1:9" ht="18" x14ac:dyDescent="0.25">
      <c r="A13" s="105"/>
      <c r="B13" s="82" t="s">
        <v>91</v>
      </c>
      <c r="C13" s="82"/>
      <c r="D13" s="82"/>
      <c r="E13" s="82"/>
      <c r="F13" s="303"/>
      <c r="G13" s="304" t="s">
        <v>129</v>
      </c>
      <c r="H13" s="305">
        <f>H9-H11</f>
        <v>56720696.569452003</v>
      </c>
      <c r="I13" s="116"/>
    </row>
    <row r="14" spans="1:9" ht="15" x14ac:dyDescent="0.2">
      <c r="A14" s="105"/>
      <c r="B14" s="82"/>
      <c r="C14" s="82"/>
      <c r="D14" s="82"/>
      <c r="E14" s="82"/>
      <c r="F14" s="82"/>
      <c r="G14" s="82"/>
      <c r="H14" s="82"/>
      <c r="I14" s="116"/>
    </row>
    <row r="15" spans="1:9" ht="9.75" customHeight="1" x14ac:dyDescent="0.2">
      <c r="A15" s="105"/>
      <c r="B15" s="82"/>
      <c r="C15" s="82"/>
      <c r="D15" s="82"/>
      <c r="E15" s="82"/>
      <c r="F15" s="82"/>
      <c r="G15" s="82"/>
      <c r="H15" s="82"/>
      <c r="I15" s="116"/>
    </row>
    <row r="16" spans="1:9" ht="15.75" x14ac:dyDescent="0.25">
      <c r="A16" s="105"/>
      <c r="B16" s="81" t="s">
        <v>315</v>
      </c>
      <c r="C16" s="82" t="s">
        <v>9</v>
      </c>
      <c r="D16" s="82"/>
      <c r="E16" s="82"/>
      <c r="F16" s="186">
        <f>'WK1 - Identification'!E45</f>
        <v>2.4E-2</v>
      </c>
      <c r="G16" s="306"/>
      <c r="H16" s="307">
        <f>ROUND(H13*F16,0)</f>
        <v>1361297</v>
      </c>
      <c r="I16" s="116"/>
    </row>
    <row r="17" spans="1:9" ht="6.75" customHeight="1" x14ac:dyDescent="0.25">
      <c r="A17" s="105"/>
      <c r="B17" s="81"/>
      <c r="C17" s="82"/>
      <c r="D17" s="82"/>
      <c r="E17" s="82"/>
      <c r="F17" s="186"/>
      <c r="G17" s="306"/>
      <c r="H17" s="308"/>
      <c r="I17" s="116"/>
    </row>
    <row r="18" spans="1:9" ht="18.75" customHeight="1" x14ac:dyDescent="0.25">
      <c r="A18" s="105"/>
      <c r="B18" s="81" t="s">
        <v>315</v>
      </c>
      <c r="C18" s="96" t="s">
        <v>10</v>
      </c>
      <c r="D18" s="82"/>
      <c r="E18" s="82"/>
      <c r="F18" s="186">
        <f>'WK1 - Identification'!L24</f>
        <v>1.4885007609247396E-2</v>
      </c>
      <c r="G18" s="82"/>
      <c r="H18" s="307">
        <f>ROUND(H13*F18,0)</f>
        <v>844288</v>
      </c>
      <c r="I18" s="116"/>
    </row>
    <row r="19" spans="1:9" ht="8.25" customHeight="1" x14ac:dyDescent="0.25">
      <c r="A19" s="105"/>
      <c r="B19" s="81"/>
      <c r="C19" s="309"/>
      <c r="D19" s="82"/>
      <c r="E19" s="82"/>
      <c r="F19" s="186"/>
      <c r="G19" s="82"/>
      <c r="H19" s="310"/>
      <c r="I19" s="116"/>
    </row>
    <row r="20" spans="1:9" ht="15.75" customHeight="1" x14ac:dyDescent="0.25">
      <c r="A20" s="105"/>
      <c r="B20" s="81" t="s">
        <v>315</v>
      </c>
      <c r="C20" s="96" t="s">
        <v>11</v>
      </c>
      <c r="D20" s="82"/>
      <c r="E20" s="82"/>
      <c r="F20" s="186">
        <f>IF(H13=0,0,H20/H13)</f>
        <v>0</v>
      </c>
      <c r="G20" s="82"/>
      <c r="H20" s="307">
        <f>'WK1 - Identification'!L33</f>
        <v>0</v>
      </c>
      <c r="I20" s="116"/>
    </row>
    <row r="21" spans="1:9" ht="16.5" customHeight="1" x14ac:dyDescent="0.25">
      <c r="A21" s="105"/>
      <c r="B21" s="81"/>
      <c r="C21" s="96"/>
      <c r="D21" s="82"/>
      <c r="E21" s="82"/>
      <c r="F21" s="311"/>
      <c r="G21" s="82"/>
      <c r="H21" s="312"/>
      <c r="I21" s="116"/>
    </row>
    <row r="22" spans="1:9" ht="22.5" customHeight="1" x14ac:dyDescent="0.3">
      <c r="A22" s="105"/>
      <c r="B22" s="81"/>
      <c r="C22" s="84" t="s">
        <v>12</v>
      </c>
      <c r="D22" s="82"/>
      <c r="E22" s="82"/>
      <c r="F22" s="313">
        <f>(F16+F18+F20)</f>
        <v>3.8885007609247395E-2</v>
      </c>
      <c r="G22" s="304" t="s">
        <v>129</v>
      </c>
      <c r="H22" s="314">
        <f>ROUND(H13*F22,0)</f>
        <v>2205585</v>
      </c>
      <c r="I22" s="116"/>
    </row>
    <row r="23" spans="1:9" ht="13.5" customHeight="1" x14ac:dyDescent="0.25">
      <c r="A23" s="105"/>
      <c r="B23" s="81"/>
      <c r="C23" s="84"/>
      <c r="D23" s="82"/>
      <c r="E23" s="82"/>
      <c r="F23" s="315"/>
      <c r="G23" s="82"/>
      <c r="H23" s="312"/>
      <c r="I23" s="116"/>
    </row>
    <row r="24" spans="1:9" ht="4.5" customHeight="1" x14ac:dyDescent="0.25">
      <c r="A24" s="105"/>
      <c r="B24" s="81"/>
      <c r="C24" s="82"/>
      <c r="D24" s="82"/>
      <c r="E24" s="82"/>
      <c r="F24" s="82"/>
      <c r="G24" s="82"/>
      <c r="H24" s="82"/>
      <c r="I24" s="116"/>
    </row>
    <row r="25" spans="1:9" ht="15.75" customHeight="1" x14ac:dyDescent="0.25">
      <c r="A25" s="105"/>
      <c r="B25" s="316" t="s">
        <v>409</v>
      </c>
      <c r="C25" s="82"/>
      <c r="D25" s="82"/>
      <c r="E25" s="82"/>
      <c r="F25" s="82"/>
      <c r="G25" s="82"/>
      <c r="H25" s="82"/>
      <c r="I25" s="116"/>
    </row>
    <row r="26" spans="1:9" ht="15" x14ac:dyDescent="0.2">
      <c r="A26" s="105"/>
      <c r="B26" s="42"/>
      <c r="C26" s="82"/>
      <c r="D26" s="82"/>
      <c r="E26" s="82"/>
      <c r="F26" s="82"/>
      <c r="G26" s="82"/>
      <c r="H26" s="82"/>
      <c r="I26" s="116"/>
    </row>
    <row r="27" spans="1:9" ht="8.25" customHeight="1" x14ac:dyDescent="0.25">
      <c r="A27" s="105"/>
      <c r="B27" s="81"/>
      <c r="C27" s="82"/>
      <c r="D27" s="82"/>
      <c r="E27" s="82"/>
      <c r="F27" s="82"/>
      <c r="G27" s="82"/>
      <c r="H27" s="82"/>
      <c r="I27" s="116"/>
    </row>
    <row r="28" spans="1:9" ht="17.25" customHeight="1" x14ac:dyDescent="0.25">
      <c r="A28" s="105"/>
      <c r="B28" s="81" t="s">
        <v>326</v>
      </c>
      <c r="C28" s="82" t="s">
        <v>928</v>
      </c>
      <c r="D28" s="82"/>
      <c r="E28" s="82"/>
      <c r="F28" s="82"/>
      <c r="G28" s="82"/>
      <c r="H28" s="307">
        <f>'WK1 - Identification'!L34</f>
        <v>100718</v>
      </c>
      <c r="I28" s="116"/>
    </row>
    <row r="29" spans="1:9" ht="8.1" customHeight="1" x14ac:dyDescent="0.25">
      <c r="A29" s="105"/>
      <c r="B29" s="81"/>
      <c r="C29" s="82"/>
      <c r="D29" s="82"/>
      <c r="E29" s="82"/>
      <c r="F29" s="82"/>
      <c r="G29" s="82"/>
      <c r="H29" s="82"/>
      <c r="I29" s="116"/>
    </row>
    <row r="30" spans="1:9" ht="15.75" x14ac:dyDescent="0.25">
      <c r="A30" s="105"/>
      <c r="B30" s="81" t="s">
        <v>316</v>
      </c>
      <c r="C30" s="82" t="s">
        <v>413</v>
      </c>
      <c r="D30" s="82"/>
      <c r="E30" s="82"/>
      <c r="F30" s="82"/>
      <c r="G30" s="303" t="s">
        <v>927</v>
      </c>
      <c r="H30" s="307">
        <f>'WK1 - Identification'!L35</f>
        <v>0</v>
      </c>
      <c r="I30" s="703" t="s">
        <v>926</v>
      </c>
    </row>
    <row r="31" spans="1:9" ht="8.1" customHeight="1" x14ac:dyDescent="0.25">
      <c r="A31" s="105"/>
      <c r="B31" s="81"/>
      <c r="C31" s="82"/>
      <c r="D31" s="82"/>
      <c r="E31" s="82"/>
      <c r="F31" s="82"/>
      <c r="G31" s="82"/>
      <c r="H31" s="82"/>
      <c r="I31" s="116"/>
    </row>
    <row r="32" spans="1:9" ht="11.25" customHeight="1" x14ac:dyDescent="0.25">
      <c r="A32" s="105"/>
      <c r="B32" s="81"/>
      <c r="C32" s="82"/>
      <c r="D32" s="82"/>
      <c r="E32" s="82"/>
      <c r="F32" s="82"/>
      <c r="G32" s="82"/>
      <c r="H32" s="317"/>
      <c r="I32" s="116"/>
    </row>
    <row r="33" spans="1:12" ht="15.75" x14ac:dyDescent="0.25">
      <c r="A33" s="105"/>
      <c r="B33" s="81"/>
      <c r="C33" s="82"/>
      <c r="D33" s="82"/>
      <c r="E33" s="82"/>
      <c r="F33" s="82" t="s">
        <v>92</v>
      </c>
      <c r="G33" s="82"/>
      <c r="H33" s="318">
        <f>H28-H30</f>
        <v>100718</v>
      </c>
      <c r="I33" s="116"/>
    </row>
    <row r="34" spans="1:12" ht="15.75" x14ac:dyDescent="0.25">
      <c r="A34" s="105"/>
      <c r="B34" s="81"/>
      <c r="C34" s="82"/>
      <c r="D34" s="82"/>
      <c r="E34" s="82"/>
      <c r="F34" s="82"/>
      <c r="G34" s="82"/>
      <c r="H34" s="82"/>
      <c r="I34" s="116"/>
    </row>
    <row r="35" spans="1:12" ht="18.75" thickBot="1" x14ac:dyDescent="0.3">
      <c r="A35" s="105"/>
      <c r="B35" s="82"/>
      <c r="C35" s="81" t="s">
        <v>93</v>
      </c>
      <c r="D35" s="82"/>
      <c r="E35" s="82"/>
      <c r="F35" s="303"/>
      <c r="G35" s="304" t="s">
        <v>129</v>
      </c>
      <c r="H35" s="694">
        <f>H13+H22+H28-H30</f>
        <v>59026999.569452003</v>
      </c>
      <c r="I35" s="116"/>
      <c r="K35" s="447"/>
    </row>
    <row r="36" spans="1:12" ht="15.75" thickTop="1" x14ac:dyDescent="0.2">
      <c r="A36" s="319"/>
      <c r="B36" s="320"/>
      <c r="C36" s="320"/>
      <c r="D36" s="320"/>
      <c r="E36" s="320"/>
      <c r="F36" s="320"/>
      <c r="G36" s="320"/>
      <c r="H36" s="320"/>
      <c r="I36" s="321"/>
      <c r="L36" s="685">
        <f>Total_First_year_Notional_General_Income_Yield</f>
        <v>58926373.491176397</v>
      </c>
    </row>
    <row r="37" spans="1:12" s="447" customFormat="1" ht="15.75" hidden="1" x14ac:dyDescent="0.25">
      <c r="A37" s="454"/>
      <c r="B37" s="455" t="s">
        <v>516</v>
      </c>
      <c r="C37" s="453"/>
      <c r="D37" s="452"/>
      <c r="E37" s="452"/>
      <c r="F37" s="456">
        <f>Total_First_year_Notional_General_Income_Yield</f>
        <v>58926373.491176397</v>
      </c>
      <c r="G37" s="452"/>
      <c r="H37" s="452"/>
      <c r="I37" s="457"/>
    </row>
    <row r="38" spans="1:12" s="447" customFormat="1" ht="9.75" hidden="1" customHeight="1" x14ac:dyDescent="0.2">
      <c r="A38" s="454"/>
      <c r="B38" s="458"/>
      <c r="C38" s="451"/>
      <c r="D38" s="452"/>
      <c r="E38" s="452"/>
      <c r="F38" s="452"/>
      <c r="G38" s="452"/>
      <c r="H38" s="452"/>
      <c r="I38" s="457"/>
    </row>
    <row r="39" spans="1:12" s="447" customFormat="1" ht="15" hidden="1" x14ac:dyDescent="0.2">
      <c r="A39" s="454"/>
      <c r="B39" s="452" t="s">
        <v>312</v>
      </c>
      <c r="C39" s="452"/>
      <c r="D39" s="452"/>
      <c r="E39" s="452"/>
      <c r="F39" s="452"/>
      <c r="G39" s="452"/>
      <c r="H39" s="452"/>
      <c r="I39" s="457"/>
    </row>
    <row r="40" spans="1:12" s="447" customFormat="1" ht="15" hidden="1" x14ac:dyDescent="0.2">
      <c r="A40" s="454"/>
      <c r="B40" s="452"/>
      <c r="C40" s="452" t="s">
        <v>517</v>
      </c>
      <c r="D40" s="452"/>
      <c r="E40" s="452"/>
      <c r="F40" s="459">
        <f>'WK3 - Notional GI 15-16 YIELD'!K162</f>
        <v>0</v>
      </c>
      <c r="G40" s="452"/>
      <c r="H40" s="452"/>
      <c r="I40" s="457"/>
    </row>
    <row r="41" spans="1:12" s="447" customFormat="1" ht="8.25" hidden="1" customHeight="1" x14ac:dyDescent="0.2">
      <c r="A41" s="454"/>
      <c r="B41" s="458"/>
      <c r="C41" s="451"/>
      <c r="D41" s="452"/>
      <c r="E41" s="452"/>
      <c r="F41" s="452"/>
      <c r="G41" s="452"/>
      <c r="H41" s="452"/>
      <c r="I41" s="457"/>
    </row>
    <row r="42" spans="1:12" s="447" customFormat="1" ht="18.75" hidden="1" thickBot="1" x14ac:dyDescent="0.3">
      <c r="A42" s="454"/>
      <c r="B42" s="460" t="s">
        <v>518</v>
      </c>
      <c r="C42" s="452"/>
      <c r="D42" s="452"/>
      <c r="E42" s="452"/>
      <c r="F42" s="452"/>
      <c r="G42" s="461" t="s">
        <v>129</v>
      </c>
      <c r="H42" s="462">
        <f>'WK3 - Notional GI 15-16 YIELD'!K164</f>
        <v>58926373.491176397</v>
      </c>
      <c r="I42" s="457"/>
    </row>
    <row r="43" spans="1:12" s="447" customFormat="1" ht="11.25" hidden="1" customHeight="1" thickTop="1" x14ac:dyDescent="0.2">
      <c r="A43" s="454"/>
      <c r="B43" s="452"/>
      <c r="C43" s="452"/>
      <c r="D43" s="452"/>
      <c r="E43" s="452"/>
      <c r="F43" s="452"/>
      <c r="G43" s="452"/>
      <c r="H43" s="452"/>
      <c r="I43" s="457"/>
    </row>
    <row r="44" spans="1:12" s="447" customFormat="1" ht="18.75" hidden="1" thickBot="1" x14ac:dyDescent="0.3">
      <c r="A44" s="454"/>
      <c r="B44" s="452"/>
      <c r="C44" s="452" t="s">
        <v>94</v>
      </c>
      <c r="D44" s="452"/>
      <c r="E44" s="452"/>
      <c r="F44" s="452"/>
      <c r="G44" s="461" t="s">
        <v>129</v>
      </c>
      <c r="H44" s="463">
        <f>H35-H42</f>
        <v>100626.07827560604</v>
      </c>
      <c r="I44" s="457"/>
    </row>
    <row r="45" spans="1:12" ht="12.75" hidden="1" customHeight="1" thickTop="1" x14ac:dyDescent="0.2">
      <c r="A45" s="105"/>
      <c r="B45" s="82"/>
      <c r="C45" s="82"/>
      <c r="D45" s="82"/>
      <c r="E45" s="82"/>
      <c r="F45" s="82"/>
      <c r="G45" s="82"/>
      <c r="H45" s="82"/>
      <c r="I45" s="116"/>
    </row>
    <row r="46" spans="1:12" ht="15" hidden="1" customHeight="1" x14ac:dyDescent="0.25">
      <c r="A46" s="319"/>
      <c r="B46" s="129"/>
      <c r="C46" s="130"/>
      <c r="D46" s="131"/>
      <c r="E46" s="94"/>
      <c r="F46" s="94"/>
      <c r="G46" s="320"/>
      <c r="H46" s="320"/>
      <c r="I46" s="321"/>
    </row>
  </sheetData>
  <sheetProtection password="C234" sheet="1"/>
  <mergeCells count="4">
    <mergeCell ref="B4:H4"/>
    <mergeCell ref="B2:F2"/>
    <mergeCell ref="B6:H6"/>
    <mergeCell ref="B8:H8"/>
  </mergeCells>
  <phoneticPr fontId="17" type="noConversion"/>
  <dataValidations xWindow="719" yWindow="627" count="6">
    <dataValidation type="whole" allowBlank="1" showErrorMessage="1" errorTitle="Invalid number" error="Please round your entry to the nearest whole number." promptTitle="Income Adjustment" prompt="Crown Land adjustment claimed plus income lost due to the 20% Farmland limit, recovered as an income adjustmenmt." sqref="H32 H34">
      <formula1>0</formula1>
      <formula2>100000000</formula2>
    </dataValidation>
    <dataValidation type="whole" allowBlank="1" showErrorMessage="1" errorTitle="Invalid number" error="Please round your entry to the nearest whole number." promptTitle="Income Adjustment" prompt="Crown Land adjustment claimed." sqref="H33">
      <formula1>0</formula1>
      <formula2>100000000</formula2>
    </dataValidation>
    <dataValidation type="whole" allowBlank="1" showInputMessage="1" showErrorMessage="1" errorTitle="Invalid number" error="Please round your entry to the nearest whole number." sqref="H28">
      <formula1>-10000000</formula1>
      <formula2>100000000</formula2>
    </dataValidation>
    <dataValidation type="whole" allowBlank="1" showInputMessage="1" showErrorMessage="1" errorTitle="Invalid number" error="This amount must be a negative whole number." sqref="H30">
      <formula1>-10000000</formula1>
      <formula2>0</formula2>
    </dataValidation>
    <dataValidation type="whole" allowBlank="1" showInputMessage="1" showErrorMessage="1" errorTitle="Invalid number" error="The amount must be a negative whole number." sqref="H11">
      <formula1>-100000000</formula1>
      <formula2>0</formula2>
    </dataValidation>
    <dataValidation allowBlank="1" showInputMessage="1" showErrorMessage="1" promptTitle="Permissible GI vs Notional GI" prompt="Permissable General Income (PGI) reflects the impact of catchups or excess amounts that councils must adjust their income for. PGI may not match the level of Notional General Income (NGI) calculated on WK 3. NGI should be equal to or less than the PGI. " sqref="H35"/>
  </dataValidations>
  <printOptions horizontalCentered="1"/>
  <pageMargins left="0.70866141732283472" right="0.74803149606299213" top="0.77" bottom="0.98425196850393704" header="0.51181102362204722" footer="0.51181102362204722"/>
  <pageSetup paperSize="9" scale="86" fitToHeight="0" orientation="portrait" r:id="rId1"/>
  <headerFooter alignWithMargins="0"/>
  <colBreaks count="1" manualBreakCount="1">
    <brk id="9" max="1048575" man="1"/>
  </colBreaks>
  <cellWatches>
    <cellWatch r="H11"/>
  </cellWatch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N660"/>
  <sheetViews>
    <sheetView showGridLines="0" view="pageBreakPreview" topLeftCell="B1" zoomScaleNormal="100" zoomScaleSheetLayoutView="100" workbookViewId="0">
      <selection activeCell="J102" sqref="J102"/>
    </sheetView>
  </sheetViews>
  <sheetFormatPr defaultRowHeight="12" x14ac:dyDescent="0.2"/>
  <cols>
    <col min="1" max="1" width="2.7109375" hidden="1" customWidth="1"/>
    <col min="2" max="2" width="1" customWidth="1"/>
    <col min="3" max="3" width="12.42578125" customWidth="1"/>
    <col min="4" max="4" width="21.7109375" customWidth="1"/>
    <col min="5" max="12" width="12.7109375" customWidth="1"/>
    <col min="13" max="13" width="1.42578125" customWidth="1"/>
    <col min="14" max="14" width="12.7109375" customWidth="1"/>
    <col min="15" max="15" width="9.7109375" customWidth="1"/>
    <col min="16" max="16" width="12.7109375" customWidth="1"/>
    <col min="17" max="17" width="9.7109375" customWidth="1"/>
    <col min="18" max="18" width="12.7109375" customWidth="1"/>
    <col min="19" max="19" width="9.7109375" customWidth="1"/>
    <col min="20" max="20" width="12.7109375" customWidth="1"/>
    <col min="21" max="21" width="9.7109375" customWidth="1"/>
    <col min="22" max="22" width="12.7109375" customWidth="1"/>
    <col min="23" max="23" width="9.7109375" customWidth="1"/>
    <col min="24" max="24" width="12.7109375" customWidth="1"/>
    <col min="25" max="25" width="9.7109375" customWidth="1"/>
    <col min="26" max="26" width="12.7109375" customWidth="1"/>
    <col min="27" max="27" width="9.7109375" customWidth="1"/>
    <col min="28" max="28" width="12.7109375" customWidth="1"/>
    <col min="29" max="29" width="9.7109375" customWidth="1"/>
    <col min="30" max="30" width="12.7109375" customWidth="1"/>
    <col min="31" max="31" width="9.7109375" customWidth="1"/>
    <col min="32" max="32" width="12.7109375" customWidth="1"/>
    <col min="33" max="33" width="9.7109375" customWidth="1"/>
    <col min="34" max="34" width="12.7109375" customWidth="1"/>
    <col min="35" max="35" width="9.7109375" customWidth="1"/>
    <col min="36" max="36" width="12.7109375" customWidth="1"/>
    <col min="37" max="37" width="9.7109375" customWidth="1"/>
    <col min="38" max="38" width="12.7109375" customWidth="1"/>
    <col min="39" max="39" width="9.7109375" customWidth="1"/>
    <col min="40" max="40" width="0.7109375" customWidth="1"/>
  </cols>
  <sheetData>
    <row r="1" spans="1:40" x14ac:dyDescent="0.2">
      <c r="A1" s="2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75" x14ac:dyDescent="0.25">
      <c r="A2" s="26"/>
      <c r="B2" s="38"/>
      <c r="C2" s="767" t="str">
        <f>'WK1 - Identification'!E11</f>
        <v>Shoalhaven City Council</v>
      </c>
      <c r="D2" s="768"/>
      <c r="E2" s="768"/>
      <c r="F2" s="768"/>
      <c r="G2" s="769"/>
      <c r="H2" s="213"/>
      <c r="I2" s="213"/>
      <c r="J2" s="213"/>
      <c r="K2" s="213"/>
      <c r="L2" s="213"/>
      <c r="M2" s="213"/>
      <c r="N2" s="38"/>
      <c r="O2" s="38"/>
      <c r="P2" s="38"/>
      <c r="Q2" s="38"/>
      <c r="R2" s="38"/>
      <c r="S2" s="38"/>
      <c r="T2" s="38"/>
      <c r="U2" s="38"/>
      <c r="V2" s="38"/>
      <c r="W2" s="38"/>
      <c r="X2" s="38"/>
      <c r="Y2" s="38"/>
      <c r="Z2" s="38"/>
      <c r="AA2" s="38"/>
      <c r="AB2" s="38"/>
      <c r="AC2" s="38"/>
      <c r="AD2" s="38"/>
      <c r="AE2" s="38"/>
      <c r="AF2" s="38"/>
      <c r="AG2" s="38"/>
      <c r="AH2" s="38"/>
      <c r="AI2" s="38"/>
      <c r="AJ2" s="221" t="s">
        <v>77</v>
      </c>
      <c r="AK2" s="221"/>
      <c r="AL2" s="221"/>
      <c r="AM2" s="38"/>
      <c r="AN2" s="38"/>
    </row>
    <row r="3" spans="1:40" x14ac:dyDescent="0.2">
      <c r="A3" s="26"/>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30" x14ac:dyDescent="0.4">
      <c r="A4" s="26"/>
      <c r="B4" s="38"/>
      <c r="C4" s="757" t="s">
        <v>436</v>
      </c>
      <c r="D4" s="757"/>
      <c r="E4" s="757"/>
      <c r="F4" s="757"/>
      <c r="G4" s="757"/>
      <c r="H4" s="757"/>
      <c r="I4" s="757"/>
      <c r="J4" s="757"/>
      <c r="K4" s="757"/>
      <c r="L4" s="757"/>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38"/>
    </row>
    <row r="5" spans="1:40" x14ac:dyDescent="0.2">
      <c r="A5" s="2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3.25" x14ac:dyDescent="0.35">
      <c r="A6" s="27"/>
      <c r="B6" s="82"/>
      <c r="C6" s="392" t="s">
        <v>429</v>
      </c>
      <c r="D6" s="214"/>
      <c r="E6" s="214"/>
      <c r="F6" s="214"/>
      <c r="G6" s="214"/>
      <c r="H6" s="214"/>
      <c r="I6" s="214"/>
      <c r="J6" s="214"/>
      <c r="K6" s="214"/>
      <c r="L6" s="214"/>
      <c r="M6" s="38"/>
      <c r="N6" s="38"/>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38"/>
    </row>
    <row r="7" spans="1:40" ht="9.75" customHeight="1" x14ac:dyDescent="0.35">
      <c r="A7" s="27"/>
      <c r="B7" s="82"/>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38"/>
    </row>
    <row r="8" spans="1:40" ht="15.75" customHeight="1" x14ac:dyDescent="0.35">
      <c r="A8" s="26"/>
      <c r="B8" s="38"/>
      <c r="C8" s="209" t="s">
        <v>418</v>
      </c>
      <c r="D8" s="214"/>
      <c r="E8" s="214"/>
      <c r="F8" s="214"/>
      <c r="G8" s="214"/>
      <c r="H8" s="214"/>
      <c r="I8" s="214"/>
      <c r="J8" s="214"/>
      <c r="K8" s="214"/>
      <c r="L8" s="214"/>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row>
    <row r="9" spans="1:40" ht="15.75" customHeight="1" x14ac:dyDescent="0.35">
      <c r="A9" s="26"/>
      <c r="B9" s="38"/>
      <c r="C9" s="209" t="s">
        <v>432</v>
      </c>
      <c r="D9" s="214"/>
      <c r="E9" s="214"/>
      <c r="F9" s="214"/>
      <c r="G9" s="214"/>
      <c r="H9" s="214"/>
      <c r="I9" s="214"/>
      <c r="J9" s="214"/>
      <c r="K9" s="214"/>
      <c r="L9" s="214"/>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row>
    <row r="10" spans="1:40" ht="15.75" customHeight="1" x14ac:dyDescent="0.35">
      <c r="A10" s="26"/>
      <c r="B10" s="38"/>
      <c r="C10" s="209" t="s">
        <v>414</v>
      </c>
      <c r="D10" s="214"/>
      <c r="E10" s="214"/>
      <c r="F10" s="214"/>
      <c r="G10" s="214"/>
      <c r="H10" s="214"/>
      <c r="I10" s="214"/>
      <c r="J10" s="214"/>
      <c r="K10" s="214"/>
      <c r="L10" s="214"/>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row>
    <row r="11" spans="1:40" ht="15.75" customHeight="1" x14ac:dyDescent="0.35">
      <c r="A11" s="26"/>
      <c r="B11" s="38"/>
      <c r="C11" s="209" t="s">
        <v>8</v>
      </c>
      <c r="D11" s="214"/>
      <c r="E11" s="214"/>
      <c r="F11" s="214"/>
      <c r="G11" s="214"/>
      <c r="H11" s="214"/>
      <c r="I11" s="214"/>
      <c r="J11" s="214"/>
      <c r="K11" s="214"/>
      <c r="L11" s="214"/>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row>
    <row r="12" spans="1:40" ht="15.75" customHeight="1" x14ac:dyDescent="0.35">
      <c r="A12" s="26"/>
      <c r="B12" s="38"/>
      <c r="C12" s="117" t="s">
        <v>419</v>
      </c>
      <c r="D12" s="214"/>
      <c r="E12" s="214"/>
      <c r="F12" s="214"/>
      <c r="G12" s="214"/>
      <c r="H12" s="214"/>
      <c r="I12" s="214"/>
      <c r="J12" s="214"/>
      <c r="K12" s="214"/>
      <c r="L12" s="214"/>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0" x14ac:dyDescent="0.2">
      <c r="A13" s="377"/>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row>
    <row r="14" spans="1:40" s="389" customFormat="1" ht="19.5" customHeight="1" x14ac:dyDescent="0.25">
      <c r="A14" s="38"/>
      <c r="B14" s="38"/>
      <c r="C14" s="84" t="s">
        <v>430</v>
      </c>
      <c r="D14" s="82"/>
      <c r="E14" s="82"/>
      <c r="F14" s="82"/>
      <c r="G14" s="82"/>
      <c r="H14" s="82"/>
      <c r="I14" s="82"/>
      <c r="J14" s="82"/>
      <c r="K14" s="82"/>
      <c r="L14" s="308"/>
      <c r="M14" s="308"/>
      <c r="N14" s="82"/>
      <c r="O14" s="82"/>
      <c r="P14" s="82"/>
      <c r="Q14" s="384"/>
      <c r="R14" s="384"/>
      <c r="S14" s="384"/>
      <c r="T14" s="38"/>
      <c r="U14" s="38"/>
      <c r="V14" s="38"/>
      <c r="W14" s="38"/>
      <c r="X14" s="38"/>
      <c r="Y14" s="38"/>
      <c r="Z14" s="38"/>
      <c r="AA14" s="38"/>
      <c r="AB14" s="38"/>
      <c r="AC14" s="38"/>
      <c r="AD14" s="38"/>
      <c r="AE14" s="38"/>
      <c r="AF14" s="38"/>
      <c r="AG14" s="38"/>
      <c r="AH14" s="38"/>
      <c r="AI14" s="38"/>
      <c r="AJ14" s="38"/>
      <c r="AK14" s="38"/>
      <c r="AL14" s="38"/>
      <c r="AM14" s="38"/>
      <c r="AN14" s="38"/>
    </row>
    <row r="15" spans="1:40" s="163" customFormat="1" ht="18.75" customHeight="1" x14ac:dyDescent="0.2">
      <c r="A15" s="36"/>
      <c r="B15" s="38"/>
      <c r="C15" s="82" t="s">
        <v>908</v>
      </c>
      <c r="D15" s="82"/>
      <c r="E15" s="82"/>
      <c r="F15" s="82"/>
      <c r="G15" s="82"/>
      <c r="H15" s="82"/>
      <c r="I15" s="82"/>
      <c r="J15" s="82"/>
      <c r="K15" s="82"/>
      <c r="L15" s="82"/>
      <c r="M15" s="82"/>
      <c r="N15" s="82"/>
      <c r="O15" s="82"/>
      <c r="P15" s="82"/>
      <c r="Q15" s="384"/>
      <c r="R15" s="384"/>
      <c r="S15" s="384"/>
      <c r="T15" s="38"/>
      <c r="U15" s="38"/>
      <c r="V15" s="38"/>
      <c r="W15" s="38"/>
      <c r="X15" s="38"/>
      <c r="Y15" s="38"/>
      <c r="Z15" s="38"/>
      <c r="AA15" s="38"/>
      <c r="AB15" s="38"/>
      <c r="AC15" s="38"/>
      <c r="AD15" s="38"/>
      <c r="AE15" s="38"/>
      <c r="AF15" s="38"/>
      <c r="AG15" s="38"/>
      <c r="AH15" s="38"/>
      <c r="AI15" s="38"/>
      <c r="AJ15" s="38"/>
      <c r="AK15" s="38"/>
      <c r="AL15" s="38"/>
      <c r="AM15" s="38"/>
      <c r="AN15" s="38"/>
    </row>
    <row r="16" spans="1:40" s="163" customFormat="1" ht="15" x14ac:dyDescent="0.2">
      <c r="A16" s="36"/>
      <c r="B16" s="38"/>
      <c r="C16" s="82" t="s">
        <v>907</v>
      </c>
      <c r="D16" s="82"/>
      <c r="E16" s="82"/>
      <c r="F16" s="82"/>
      <c r="G16" s="82"/>
      <c r="H16" s="82"/>
      <c r="I16" s="82"/>
      <c r="J16" s="82"/>
      <c r="K16" s="82"/>
      <c r="L16" s="82"/>
      <c r="M16" s="82"/>
      <c r="N16" s="82"/>
      <c r="O16" s="82"/>
      <c r="P16" s="82"/>
      <c r="Q16" s="384"/>
      <c r="R16" s="384"/>
      <c r="S16" s="384"/>
      <c r="T16" s="38"/>
      <c r="U16" s="38"/>
      <c r="V16" s="38"/>
      <c r="W16" s="38"/>
      <c r="X16" s="38"/>
      <c r="Y16" s="38"/>
      <c r="Z16" s="38"/>
      <c r="AA16" s="38"/>
      <c r="AB16" s="38"/>
      <c r="AC16" s="38"/>
      <c r="AD16" s="38"/>
      <c r="AE16" s="38"/>
      <c r="AF16" s="38"/>
      <c r="AG16" s="38"/>
      <c r="AH16" s="38"/>
      <c r="AI16" s="38"/>
      <c r="AJ16" s="38"/>
      <c r="AK16" s="38"/>
      <c r="AL16" s="38"/>
      <c r="AM16" s="38"/>
      <c r="AN16" s="38"/>
    </row>
    <row r="17" spans="1:40" s="163" customFormat="1" ht="15" x14ac:dyDescent="0.2">
      <c r="A17" s="36"/>
      <c r="B17" s="82"/>
      <c r="C17" s="82" t="s">
        <v>909</v>
      </c>
      <c r="D17" s="82"/>
      <c r="E17" s="82"/>
      <c r="F17" s="82"/>
      <c r="G17" s="82"/>
      <c r="H17" s="82"/>
      <c r="I17" s="82"/>
      <c r="J17" s="82"/>
      <c r="K17" s="82"/>
      <c r="L17" s="82"/>
      <c r="M17" s="82"/>
      <c r="N17" s="82"/>
      <c r="O17" s="82"/>
      <c r="P17" s="82"/>
      <c r="Q17" s="384"/>
      <c r="R17" s="384"/>
      <c r="S17" s="384"/>
      <c r="T17" s="38"/>
      <c r="U17" s="38"/>
      <c r="V17" s="38"/>
      <c r="W17" s="38"/>
      <c r="X17" s="38"/>
      <c r="Y17" s="38"/>
      <c r="Z17" s="38"/>
      <c r="AA17" s="38"/>
      <c r="AB17" s="38"/>
      <c r="AC17" s="38"/>
      <c r="AD17" s="38"/>
      <c r="AE17" s="38"/>
      <c r="AF17" s="38"/>
      <c r="AG17" s="38"/>
      <c r="AH17" s="38"/>
      <c r="AI17" s="38"/>
      <c r="AJ17" s="38"/>
      <c r="AK17" s="38"/>
      <c r="AL17" s="38"/>
      <c r="AM17" s="38"/>
      <c r="AN17" s="38"/>
    </row>
    <row r="18" spans="1:40" s="163" customFormat="1" ht="12.75" customHeight="1" thickBot="1" x14ac:dyDescent="0.25">
      <c r="A18" s="36"/>
      <c r="B18" s="82"/>
      <c r="C18" s="82"/>
      <c r="D18" s="82"/>
      <c r="E18" s="82"/>
      <c r="F18" s="82"/>
      <c r="G18" s="82"/>
      <c r="H18" s="82"/>
      <c r="I18" s="82"/>
      <c r="J18" s="82"/>
      <c r="K18" s="82"/>
      <c r="L18" s="82"/>
      <c r="M18" s="82"/>
      <c r="N18" s="82"/>
      <c r="O18" s="82"/>
      <c r="P18" s="82"/>
      <c r="Q18" s="384"/>
      <c r="R18" s="384"/>
      <c r="S18" s="384"/>
      <c r="T18" s="38"/>
      <c r="U18" s="38"/>
      <c r="V18" s="38"/>
      <c r="W18" s="38"/>
      <c r="X18" s="38"/>
      <c r="Y18" s="38"/>
      <c r="Z18" s="38"/>
      <c r="AA18" s="38"/>
      <c r="AB18" s="38"/>
      <c r="AC18" s="38"/>
      <c r="AD18" s="38"/>
      <c r="AE18" s="38"/>
      <c r="AF18" s="38"/>
      <c r="AG18" s="38"/>
      <c r="AH18" s="38"/>
      <c r="AI18" s="38"/>
      <c r="AJ18" s="38"/>
      <c r="AK18" s="38"/>
      <c r="AL18" s="38"/>
      <c r="AM18" s="38"/>
      <c r="AN18" s="38"/>
    </row>
    <row r="19" spans="1:40" ht="16.5" customHeight="1" thickTop="1" thickBot="1" x14ac:dyDescent="0.3">
      <c r="A19" s="26"/>
      <c r="B19" s="38"/>
      <c r="C19" s="38"/>
      <c r="D19" s="38"/>
      <c r="E19" s="38"/>
      <c r="F19" s="805" t="s">
        <v>340</v>
      </c>
      <c r="G19" s="806"/>
      <c r="H19" s="806"/>
      <c r="I19" s="806"/>
      <c r="J19" s="806"/>
      <c r="K19" s="806"/>
      <c r="L19" s="807"/>
      <c r="M19" s="38"/>
      <c r="N19" s="810" t="s">
        <v>906</v>
      </c>
      <c r="O19" s="811"/>
      <c r="P19" s="811"/>
      <c r="Q19" s="811"/>
      <c r="R19" s="811"/>
      <c r="S19" s="811"/>
      <c r="T19" s="811"/>
      <c r="U19" s="811"/>
      <c r="V19" s="811"/>
      <c r="W19" s="811"/>
      <c r="X19" s="811"/>
      <c r="Y19" s="811"/>
      <c r="Z19" s="811"/>
      <c r="AA19" s="811"/>
      <c r="AB19" s="811"/>
      <c r="AC19" s="811"/>
      <c r="AD19" s="811"/>
      <c r="AE19" s="811"/>
      <c r="AF19" s="811"/>
      <c r="AG19" s="811"/>
      <c r="AH19" s="811"/>
      <c r="AI19" s="811"/>
      <c r="AJ19" s="811"/>
      <c r="AK19" s="811"/>
      <c r="AL19" s="811"/>
      <c r="AM19" s="812"/>
      <c r="AN19" s="38"/>
    </row>
    <row r="20" spans="1:40" s="163" customFormat="1" ht="39" thickTop="1" x14ac:dyDescent="0.2">
      <c r="A20" s="36"/>
      <c r="B20" s="82"/>
      <c r="C20" s="290" t="s">
        <v>317</v>
      </c>
      <c r="D20" s="291" t="s">
        <v>408</v>
      </c>
      <c r="E20" s="292" t="s">
        <v>898</v>
      </c>
      <c r="F20" s="292" t="s">
        <v>899</v>
      </c>
      <c r="G20" s="292" t="s">
        <v>900</v>
      </c>
      <c r="H20" s="292" t="s">
        <v>901</v>
      </c>
      <c r="I20" s="292" t="s">
        <v>902</v>
      </c>
      <c r="J20" s="292" t="s">
        <v>903</v>
      </c>
      <c r="K20" s="292" t="s">
        <v>904</v>
      </c>
      <c r="L20" s="391" t="s">
        <v>905</v>
      </c>
      <c r="M20" s="82"/>
      <c r="N20" s="796" t="s">
        <v>420</v>
      </c>
      <c r="O20" s="798"/>
      <c r="P20" s="796" t="s">
        <v>421</v>
      </c>
      <c r="Q20" s="797"/>
      <c r="R20" s="797"/>
      <c r="S20" s="798"/>
      <c r="T20" s="796" t="s">
        <v>422</v>
      </c>
      <c r="U20" s="797"/>
      <c r="V20" s="797"/>
      <c r="W20" s="798"/>
      <c r="X20" s="796" t="s">
        <v>423</v>
      </c>
      <c r="Y20" s="797"/>
      <c r="Z20" s="797"/>
      <c r="AA20" s="798"/>
      <c r="AB20" s="796" t="s">
        <v>424</v>
      </c>
      <c r="AC20" s="797"/>
      <c r="AD20" s="797"/>
      <c r="AE20" s="798"/>
      <c r="AF20" s="796" t="s">
        <v>425</v>
      </c>
      <c r="AG20" s="797"/>
      <c r="AH20" s="797"/>
      <c r="AI20" s="798"/>
      <c r="AJ20" s="796" t="s">
        <v>426</v>
      </c>
      <c r="AK20" s="797"/>
      <c r="AL20" s="797"/>
      <c r="AM20" s="798"/>
      <c r="AN20" s="38"/>
    </row>
    <row r="21" spans="1:40" s="163" customFormat="1" ht="13.5" customHeight="1" x14ac:dyDescent="0.2">
      <c r="A21" s="36"/>
      <c r="B21" s="82"/>
      <c r="C21" s="295"/>
      <c r="D21" s="296"/>
      <c r="E21" s="160" t="str">
        <f>'WK1 - Identification'!C44</f>
        <v>2014/15</v>
      </c>
      <c r="F21" s="160" t="str">
        <f>'WK1 - Identification'!C45</f>
        <v>2015/16</v>
      </c>
      <c r="G21" s="160" t="str">
        <f>'WK1 - Identification'!C46</f>
        <v>2016/17</v>
      </c>
      <c r="H21" s="160" t="str">
        <f>'WK1 - Identification'!C47</f>
        <v>2017/18</v>
      </c>
      <c r="I21" s="160" t="str">
        <f>'WK1 - Identification'!C48</f>
        <v>2018/19</v>
      </c>
      <c r="J21" s="160" t="str">
        <f>'WK1 - Identification'!C49</f>
        <v>2019/20</v>
      </c>
      <c r="K21" s="390" t="str">
        <f>'WK1 - Identification'!C50</f>
        <v>2020/21</v>
      </c>
      <c r="L21" s="182" t="str">
        <f>'WK1 - Identification'!C51</f>
        <v>2021/22</v>
      </c>
      <c r="M21" s="82"/>
      <c r="N21" s="251" t="s">
        <v>102</v>
      </c>
      <c r="O21" s="248" t="s">
        <v>125</v>
      </c>
      <c r="P21" s="251" t="s">
        <v>102</v>
      </c>
      <c r="Q21" s="247" t="s">
        <v>125</v>
      </c>
      <c r="R21" s="244" t="s">
        <v>103</v>
      </c>
      <c r="S21" s="248" t="s">
        <v>125</v>
      </c>
      <c r="T21" s="251" t="s">
        <v>102</v>
      </c>
      <c r="U21" s="247" t="s">
        <v>125</v>
      </c>
      <c r="V21" s="244" t="s">
        <v>103</v>
      </c>
      <c r="W21" s="248" t="s">
        <v>125</v>
      </c>
      <c r="X21" s="251" t="s">
        <v>102</v>
      </c>
      <c r="Y21" s="247" t="s">
        <v>125</v>
      </c>
      <c r="Z21" s="244" t="s">
        <v>103</v>
      </c>
      <c r="AA21" s="248" t="s">
        <v>125</v>
      </c>
      <c r="AB21" s="251" t="s">
        <v>102</v>
      </c>
      <c r="AC21" s="247" t="s">
        <v>125</v>
      </c>
      <c r="AD21" s="244" t="s">
        <v>103</v>
      </c>
      <c r="AE21" s="243" t="s">
        <v>125</v>
      </c>
      <c r="AF21" s="251" t="s">
        <v>102</v>
      </c>
      <c r="AG21" s="247" t="s">
        <v>125</v>
      </c>
      <c r="AH21" s="244" t="s">
        <v>103</v>
      </c>
      <c r="AI21" s="248" t="s">
        <v>125</v>
      </c>
      <c r="AJ21" s="245" t="s">
        <v>102</v>
      </c>
      <c r="AK21" s="244" t="s">
        <v>125</v>
      </c>
      <c r="AL21" s="245" t="s">
        <v>103</v>
      </c>
      <c r="AM21" s="248" t="s">
        <v>125</v>
      </c>
      <c r="AN21" s="38"/>
    </row>
    <row r="22" spans="1:40" s="163" customFormat="1" ht="15" x14ac:dyDescent="0.2">
      <c r="A22" s="36"/>
      <c r="B22" s="82"/>
      <c r="C22" s="394"/>
      <c r="D22" s="395"/>
      <c r="E22" s="396"/>
      <c r="F22" s="396"/>
      <c r="G22" s="396"/>
      <c r="H22" s="396"/>
      <c r="I22" s="396"/>
      <c r="J22" s="396"/>
      <c r="K22" s="396"/>
      <c r="L22" s="398"/>
      <c r="M22" s="82"/>
      <c r="N22" s="403" t="str">
        <f>IF(F22=0,"",IF(E22=0,"",F22-E22))</f>
        <v/>
      </c>
      <c r="O22" s="404" t="str">
        <f>IF(N22="","",N22/E22)</f>
        <v/>
      </c>
      <c r="P22" s="403" t="str">
        <f>IF(G22=0,"",IF(F22=0,"",G22-F22))</f>
        <v/>
      </c>
      <c r="Q22" s="405" t="str">
        <f>IF(P22="","",P22/F22)</f>
        <v/>
      </c>
      <c r="R22" s="406" t="str">
        <f>IF(P22="","",P22+N22)</f>
        <v/>
      </c>
      <c r="S22" s="404" t="str">
        <f>IF(R22="","",R22/E22)</f>
        <v/>
      </c>
      <c r="T22" s="403" t="str">
        <f>IF(H22=0,"",IF(G22=0,"",H22-G22))</f>
        <v/>
      </c>
      <c r="U22" s="405" t="str">
        <f>IF(T22="","",T22/G22)</f>
        <v/>
      </c>
      <c r="V22" s="406" t="str">
        <f>IF(T22="","",T22+R22)</f>
        <v/>
      </c>
      <c r="W22" s="404" t="str">
        <f>IF(V22="","",V22/E22)</f>
        <v/>
      </c>
      <c r="X22" s="403" t="str">
        <f>IF(I22=0,"",IF(H22=0,"",I22-H22))</f>
        <v/>
      </c>
      <c r="Y22" s="405" t="str">
        <f>IF(X22="","",X22/H22)</f>
        <v/>
      </c>
      <c r="Z22" s="406" t="str">
        <f>IF(X22="","",X22+V22)</f>
        <v/>
      </c>
      <c r="AA22" s="404" t="str">
        <f>IF(Z22="","",Z22/E22)</f>
        <v/>
      </c>
      <c r="AB22" s="403" t="str">
        <f>IF(J22=0,"",IF(I22=0,"",J22-I22))</f>
        <v/>
      </c>
      <c r="AC22" s="405" t="str">
        <f>IF(AB22="","",AB22/I22)</f>
        <v/>
      </c>
      <c r="AD22" s="406" t="str">
        <f>IF(AB22="","",AB22+Z22)</f>
        <v/>
      </c>
      <c r="AE22" s="404" t="str">
        <f>IF(AD22="","",AD22/E22)</f>
        <v/>
      </c>
      <c r="AF22" s="403" t="str">
        <f>IF(K22=0,"",IF(J22=0,"",K22-J22))</f>
        <v/>
      </c>
      <c r="AG22" s="405" t="str">
        <f>IF(AF22="","",AF22/J22)</f>
        <v/>
      </c>
      <c r="AH22" s="406" t="str">
        <f>IF(AF22="","",AF22+AD22)</f>
        <v/>
      </c>
      <c r="AI22" s="404" t="str">
        <f>IF(AH22="","",AH22/E22)</f>
        <v/>
      </c>
      <c r="AJ22" s="403" t="str">
        <f>IF(L22=0,"",IF(K22=0,"",L22-K22))</f>
        <v/>
      </c>
      <c r="AK22" s="407" t="str">
        <f>IF(AJ22="","",AJ22/K22)</f>
        <v/>
      </c>
      <c r="AL22" s="408" t="str">
        <f>IF(AJ22="","",AJ22+AH22)</f>
        <v/>
      </c>
      <c r="AM22" s="404" t="str">
        <f>IF(AL22="","",AL22/E22)</f>
        <v/>
      </c>
      <c r="AN22" s="38"/>
    </row>
    <row r="23" spans="1:40" s="163" customFormat="1" ht="15" x14ac:dyDescent="0.2">
      <c r="A23" s="36"/>
      <c r="B23" s="82"/>
      <c r="C23" s="394"/>
      <c r="D23" s="395"/>
      <c r="E23" s="396"/>
      <c r="F23" s="396"/>
      <c r="G23" s="396"/>
      <c r="H23" s="396"/>
      <c r="I23" s="396"/>
      <c r="J23" s="397"/>
      <c r="K23" s="396"/>
      <c r="L23" s="398"/>
      <c r="M23" s="82"/>
      <c r="N23" s="403" t="str">
        <f t="shared" ref="N23:N51" si="0">IF(F23=0,"",IF(E23=0,"",F23-E23))</f>
        <v/>
      </c>
      <c r="O23" s="404" t="str">
        <f t="shared" ref="O23:O51" si="1">IF(N23="","",N23/E23)</f>
        <v/>
      </c>
      <c r="P23" s="403" t="str">
        <f t="shared" ref="P23:P51" si="2">IF(G23=0,"",IF(F23=0,"",G23-F23))</f>
        <v/>
      </c>
      <c r="Q23" s="405" t="str">
        <f t="shared" ref="Q23:Q51" si="3">IF(P23="","",P23/F23)</f>
        <v/>
      </c>
      <c r="R23" s="406" t="str">
        <f t="shared" ref="R23:R51" si="4">IF(P23="","",P23+N23)</f>
        <v/>
      </c>
      <c r="S23" s="404" t="str">
        <f t="shared" ref="S23:S51" si="5">IF(R23="","",R23/E23)</f>
        <v/>
      </c>
      <c r="T23" s="403" t="str">
        <f t="shared" ref="T23:T51" si="6">IF(H23=0,"",IF(G23=0,"",H23-G23))</f>
        <v/>
      </c>
      <c r="U23" s="405" t="str">
        <f t="shared" ref="U23:U51" si="7">IF(T23="","",T23/G23)</f>
        <v/>
      </c>
      <c r="V23" s="406" t="str">
        <f t="shared" ref="V23:V51" si="8">IF(T23="","",T23+R23)</f>
        <v/>
      </c>
      <c r="W23" s="404" t="str">
        <f t="shared" ref="W23:W51" si="9">IF(V23="","",V23/E23)</f>
        <v/>
      </c>
      <c r="X23" s="403" t="str">
        <f t="shared" ref="X23:X51" si="10">IF(I23=0,"",IF(H23=0,"",I23-H23))</f>
        <v/>
      </c>
      <c r="Y23" s="405" t="str">
        <f t="shared" ref="Y23:Y51" si="11">IF(X23="","",X23/H23)</f>
        <v/>
      </c>
      <c r="Z23" s="406" t="str">
        <f t="shared" ref="Z23:Z51" si="12">IF(X23="","",X23+V23)</f>
        <v/>
      </c>
      <c r="AA23" s="404" t="str">
        <f t="shared" ref="AA23:AA51" si="13">IF(Z23="","",Z23/E23)</f>
        <v/>
      </c>
      <c r="AB23" s="403" t="str">
        <f t="shared" ref="AB23:AB51" si="14">IF(J23=0,"",IF(I23=0,"",J23-I23))</f>
        <v/>
      </c>
      <c r="AC23" s="405" t="str">
        <f t="shared" ref="AC23:AC51" si="15">IF(AB23="","",AB23/I23)</f>
        <v/>
      </c>
      <c r="AD23" s="406" t="str">
        <f t="shared" ref="AD23:AD51" si="16">IF(AB23="","",AB23+Z23)</f>
        <v/>
      </c>
      <c r="AE23" s="404" t="str">
        <f t="shared" ref="AE23:AE51" si="17">IF(AD23="","",AD23/E23)</f>
        <v/>
      </c>
      <c r="AF23" s="403" t="str">
        <f t="shared" ref="AF23:AF51" si="18">IF(K23=0,"",IF(J23=0,"",K23-J23))</f>
        <v/>
      </c>
      <c r="AG23" s="405" t="str">
        <f t="shared" ref="AG23:AG51" si="19">IF(AF23="","",AF23/J23)</f>
        <v/>
      </c>
      <c r="AH23" s="406" t="str">
        <f t="shared" ref="AH23:AH51" si="20">IF(AF23="","",AF23+AD23)</f>
        <v/>
      </c>
      <c r="AI23" s="404" t="str">
        <f t="shared" ref="AI23:AI51" si="21">IF(AH23="","",AH23/E23)</f>
        <v/>
      </c>
      <c r="AJ23" s="403" t="str">
        <f t="shared" ref="AJ23:AJ50" si="22">IF(L23=0,"",IF(K23=0,"",L23-K23))</f>
        <v/>
      </c>
      <c r="AK23" s="407" t="str">
        <f t="shared" ref="AK23:AK51" si="23">IF(AJ23="","",AJ23/K23)</f>
        <v/>
      </c>
      <c r="AL23" s="408" t="str">
        <f t="shared" ref="AL23:AL51" si="24">IF(AJ23="","",AJ23+AH23)</f>
        <v/>
      </c>
      <c r="AM23" s="404" t="str">
        <f t="shared" ref="AM23:AM51" si="25">IF(AL23="","",AL23/E23)</f>
        <v/>
      </c>
      <c r="AN23" s="38"/>
    </row>
    <row r="24" spans="1:40" s="163" customFormat="1" ht="15" x14ac:dyDescent="0.2">
      <c r="A24" s="36"/>
      <c r="B24" s="82"/>
      <c r="C24" s="394"/>
      <c r="D24" s="395"/>
      <c r="E24" s="396"/>
      <c r="F24" s="396"/>
      <c r="G24" s="396"/>
      <c r="H24" s="396"/>
      <c r="I24" s="396"/>
      <c r="J24" s="397"/>
      <c r="K24" s="396"/>
      <c r="L24" s="398"/>
      <c r="M24" s="82"/>
      <c r="N24" s="403" t="str">
        <f t="shared" si="0"/>
        <v/>
      </c>
      <c r="O24" s="404" t="str">
        <f t="shared" si="1"/>
        <v/>
      </c>
      <c r="P24" s="403" t="str">
        <f t="shared" si="2"/>
        <v/>
      </c>
      <c r="Q24" s="405" t="str">
        <f t="shared" si="3"/>
        <v/>
      </c>
      <c r="R24" s="406" t="str">
        <f t="shared" si="4"/>
        <v/>
      </c>
      <c r="S24" s="404" t="str">
        <f t="shared" si="5"/>
        <v/>
      </c>
      <c r="T24" s="403" t="str">
        <f t="shared" si="6"/>
        <v/>
      </c>
      <c r="U24" s="405" t="str">
        <f t="shared" si="7"/>
        <v/>
      </c>
      <c r="V24" s="406" t="str">
        <f t="shared" si="8"/>
        <v/>
      </c>
      <c r="W24" s="404" t="str">
        <f t="shared" si="9"/>
        <v/>
      </c>
      <c r="X24" s="403" t="str">
        <f t="shared" si="10"/>
        <v/>
      </c>
      <c r="Y24" s="405" t="str">
        <f t="shared" si="11"/>
        <v/>
      </c>
      <c r="Z24" s="406" t="str">
        <f t="shared" si="12"/>
        <v/>
      </c>
      <c r="AA24" s="404" t="str">
        <f t="shared" si="13"/>
        <v/>
      </c>
      <c r="AB24" s="403" t="str">
        <f t="shared" si="14"/>
        <v/>
      </c>
      <c r="AC24" s="405" t="str">
        <f t="shared" si="15"/>
        <v/>
      </c>
      <c r="AD24" s="406" t="str">
        <f t="shared" si="16"/>
        <v/>
      </c>
      <c r="AE24" s="404" t="str">
        <f t="shared" si="17"/>
        <v/>
      </c>
      <c r="AF24" s="403" t="str">
        <f t="shared" si="18"/>
        <v/>
      </c>
      <c r="AG24" s="405" t="str">
        <f t="shared" si="19"/>
        <v/>
      </c>
      <c r="AH24" s="406" t="str">
        <f t="shared" si="20"/>
        <v/>
      </c>
      <c r="AI24" s="404" t="str">
        <f t="shared" si="21"/>
        <v/>
      </c>
      <c r="AJ24" s="403" t="str">
        <f t="shared" si="22"/>
        <v/>
      </c>
      <c r="AK24" s="407" t="str">
        <f t="shared" si="23"/>
        <v/>
      </c>
      <c r="AL24" s="408" t="str">
        <f t="shared" si="24"/>
        <v/>
      </c>
      <c r="AM24" s="404" t="str">
        <f t="shared" si="25"/>
        <v/>
      </c>
      <c r="AN24" s="38"/>
    </row>
    <row r="25" spans="1:40" s="163" customFormat="1" ht="15" x14ac:dyDescent="0.2">
      <c r="A25" s="36"/>
      <c r="B25" s="82"/>
      <c r="C25" s="394"/>
      <c r="D25" s="395"/>
      <c r="E25" s="396"/>
      <c r="F25" s="396"/>
      <c r="G25" s="396"/>
      <c r="H25" s="396"/>
      <c r="I25" s="396"/>
      <c r="J25" s="397"/>
      <c r="K25" s="396"/>
      <c r="L25" s="398"/>
      <c r="M25" s="82"/>
      <c r="N25" s="403" t="str">
        <f t="shared" si="0"/>
        <v/>
      </c>
      <c r="O25" s="404" t="str">
        <f t="shared" si="1"/>
        <v/>
      </c>
      <c r="P25" s="403" t="str">
        <f t="shared" si="2"/>
        <v/>
      </c>
      <c r="Q25" s="405" t="str">
        <f t="shared" si="3"/>
        <v/>
      </c>
      <c r="R25" s="406" t="str">
        <f t="shared" si="4"/>
        <v/>
      </c>
      <c r="S25" s="404" t="str">
        <f t="shared" si="5"/>
        <v/>
      </c>
      <c r="T25" s="403" t="str">
        <f t="shared" si="6"/>
        <v/>
      </c>
      <c r="U25" s="405" t="str">
        <f t="shared" si="7"/>
        <v/>
      </c>
      <c r="V25" s="406" t="str">
        <f t="shared" si="8"/>
        <v/>
      </c>
      <c r="W25" s="404" t="str">
        <f t="shared" si="9"/>
        <v/>
      </c>
      <c r="X25" s="403" t="str">
        <f t="shared" si="10"/>
        <v/>
      </c>
      <c r="Y25" s="405" t="str">
        <f t="shared" si="11"/>
        <v/>
      </c>
      <c r="Z25" s="406" t="str">
        <f t="shared" si="12"/>
        <v/>
      </c>
      <c r="AA25" s="404" t="str">
        <f t="shared" si="13"/>
        <v/>
      </c>
      <c r="AB25" s="403" t="str">
        <f t="shared" si="14"/>
        <v/>
      </c>
      <c r="AC25" s="405" t="str">
        <f t="shared" si="15"/>
        <v/>
      </c>
      <c r="AD25" s="406" t="str">
        <f t="shared" si="16"/>
        <v/>
      </c>
      <c r="AE25" s="404" t="str">
        <f t="shared" si="17"/>
        <v/>
      </c>
      <c r="AF25" s="403" t="str">
        <f t="shared" si="18"/>
        <v/>
      </c>
      <c r="AG25" s="405" t="str">
        <f t="shared" si="19"/>
        <v/>
      </c>
      <c r="AH25" s="406" t="str">
        <f t="shared" si="20"/>
        <v/>
      </c>
      <c r="AI25" s="404" t="str">
        <f t="shared" si="21"/>
        <v/>
      </c>
      <c r="AJ25" s="403" t="str">
        <f t="shared" si="22"/>
        <v/>
      </c>
      <c r="AK25" s="407" t="str">
        <f t="shared" si="23"/>
        <v/>
      </c>
      <c r="AL25" s="408" t="str">
        <f t="shared" si="24"/>
        <v/>
      </c>
      <c r="AM25" s="404" t="str">
        <f t="shared" si="25"/>
        <v/>
      </c>
      <c r="AN25" s="38"/>
    </row>
    <row r="26" spans="1:40" s="163" customFormat="1" ht="15" x14ac:dyDescent="0.2">
      <c r="A26" s="36"/>
      <c r="B26" s="82"/>
      <c r="C26" s="394"/>
      <c r="D26" s="395"/>
      <c r="E26" s="396"/>
      <c r="F26" s="396"/>
      <c r="G26" s="396"/>
      <c r="H26" s="396"/>
      <c r="I26" s="396"/>
      <c r="J26" s="397"/>
      <c r="K26" s="396"/>
      <c r="L26" s="398"/>
      <c r="M26" s="82"/>
      <c r="N26" s="403" t="str">
        <f t="shared" si="0"/>
        <v/>
      </c>
      <c r="O26" s="404" t="str">
        <f t="shared" si="1"/>
        <v/>
      </c>
      <c r="P26" s="403" t="str">
        <f t="shared" si="2"/>
        <v/>
      </c>
      <c r="Q26" s="405" t="str">
        <f t="shared" si="3"/>
        <v/>
      </c>
      <c r="R26" s="406" t="str">
        <f t="shared" si="4"/>
        <v/>
      </c>
      <c r="S26" s="404" t="str">
        <f t="shared" si="5"/>
        <v/>
      </c>
      <c r="T26" s="403" t="str">
        <f t="shared" si="6"/>
        <v/>
      </c>
      <c r="U26" s="405" t="str">
        <f t="shared" si="7"/>
        <v/>
      </c>
      <c r="V26" s="406" t="str">
        <f t="shared" si="8"/>
        <v/>
      </c>
      <c r="W26" s="404" t="str">
        <f t="shared" si="9"/>
        <v/>
      </c>
      <c r="X26" s="403" t="str">
        <f t="shared" si="10"/>
        <v/>
      </c>
      <c r="Y26" s="405" t="str">
        <f t="shared" si="11"/>
        <v/>
      </c>
      <c r="Z26" s="406" t="str">
        <f t="shared" si="12"/>
        <v/>
      </c>
      <c r="AA26" s="404" t="str">
        <f t="shared" si="13"/>
        <v/>
      </c>
      <c r="AB26" s="403" t="str">
        <f t="shared" si="14"/>
        <v/>
      </c>
      <c r="AC26" s="405" t="str">
        <f t="shared" si="15"/>
        <v/>
      </c>
      <c r="AD26" s="406" t="str">
        <f t="shared" si="16"/>
        <v/>
      </c>
      <c r="AE26" s="404" t="str">
        <f t="shared" si="17"/>
        <v/>
      </c>
      <c r="AF26" s="403" t="str">
        <f t="shared" si="18"/>
        <v/>
      </c>
      <c r="AG26" s="405" t="str">
        <f t="shared" si="19"/>
        <v/>
      </c>
      <c r="AH26" s="406" t="str">
        <f t="shared" si="20"/>
        <v/>
      </c>
      <c r="AI26" s="404" t="str">
        <f t="shared" si="21"/>
        <v/>
      </c>
      <c r="AJ26" s="403" t="str">
        <f t="shared" si="22"/>
        <v/>
      </c>
      <c r="AK26" s="407" t="str">
        <f t="shared" si="23"/>
        <v/>
      </c>
      <c r="AL26" s="408" t="str">
        <f t="shared" si="24"/>
        <v/>
      </c>
      <c r="AM26" s="404" t="str">
        <f t="shared" si="25"/>
        <v/>
      </c>
      <c r="AN26" s="38"/>
    </row>
    <row r="27" spans="1:40" s="163" customFormat="1" ht="15" x14ac:dyDescent="0.2">
      <c r="A27" s="36"/>
      <c r="B27" s="82"/>
      <c r="C27" s="394"/>
      <c r="D27" s="395"/>
      <c r="E27" s="396"/>
      <c r="F27" s="396"/>
      <c r="G27" s="396"/>
      <c r="H27" s="396"/>
      <c r="I27" s="396"/>
      <c r="J27" s="397"/>
      <c r="K27" s="396"/>
      <c r="L27" s="398"/>
      <c r="M27" s="82"/>
      <c r="N27" s="403" t="str">
        <f t="shared" si="0"/>
        <v/>
      </c>
      <c r="O27" s="404" t="str">
        <f t="shared" si="1"/>
        <v/>
      </c>
      <c r="P27" s="403" t="str">
        <f t="shared" si="2"/>
        <v/>
      </c>
      <c r="Q27" s="405" t="str">
        <f t="shared" si="3"/>
        <v/>
      </c>
      <c r="R27" s="406" t="str">
        <f t="shared" si="4"/>
        <v/>
      </c>
      <c r="S27" s="404" t="str">
        <f t="shared" si="5"/>
        <v/>
      </c>
      <c r="T27" s="403" t="str">
        <f t="shared" si="6"/>
        <v/>
      </c>
      <c r="U27" s="405" t="str">
        <f t="shared" si="7"/>
        <v/>
      </c>
      <c r="V27" s="406" t="str">
        <f t="shared" si="8"/>
        <v/>
      </c>
      <c r="W27" s="404" t="str">
        <f t="shared" si="9"/>
        <v/>
      </c>
      <c r="X27" s="403" t="str">
        <f t="shared" si="10"/>
        <v/>
      </c>
      <c r="Y27" s="405" t="str">
        <f t="shared" si="11"/>
        <v/>
      </c>
      <c r="Z27" s="406" t="str">
        <f t="shared" si="12"/>
        <v/>
      </c>
      <c r="AA27" s="404" t="str">
        <f t="shared" si="13"/>
        <v/>
      </c>
      <c r="AB27" s="403" t="str">
        <f t="shared" si="14"/>
        <v/>
      </c>
      <c r="AC27" s="405" t="str">
        <f t="shared" si="15"/>
        <v/>
      </c>
      <c r="AD27" s="406" t="str">
        <f t="shared" si="16"/>
        <v/>
      </c>
      <c r="AE27" s="404" t="str">
        <f t="shared" si="17"/>
        <v/>
      </c>
      <c r="AF27" s="403" t="str">
        <f t="shared" si="18"/>
        <v/>
      </c>
      <c r="AG27" s="405" t="str">
        <f t="shared" si="19"/>
        <v/>
      </c>
      <c r="AH27" s="406" t="str">
        <f t="shared" si="20"/>
        <v/>
      </c>
      <c r="AI27" s="404" t="str">
        <f t="shared" si="21"/>
        <v/>
      </c>
      <c r="AJ27" s="403" t="str">
        <f t="shared" si="22"/>
        <v/>
      </c>
      <c r="AK27" s="407" t="str">
        <f t="shared" si="23"/>
        <v/>
      </c>
      <c r="AL27" s="408" t="str">
        <f t="shared" si="24"/>
        <v/>
      </c>
      <c r="AM27" s="404" t="str">
        <f t="shared" si="25"/>
        <v/>
      </c>
      <c r="AN27" s="38"/>
    </row>
    <row r="28" spans="1:40" s="163" customFormat="1" ht="15" x14ac:dyDescent="0.2">
      <c r="A28" s="36"/>
      <c r="B28" s="82"/>
      <c r="C28" s="394"/>
      <c r="D28" s="395"/>
      <c r="E28" s="396"/>
      <c r="F28" s="396"/>
      <c r="G28" s="396"/>
      <c r="H28" s="396"/>
      <c r="I28" s="396"/>
      <c r="J28" s="397"/>
      <c r="K28" s="396"/>
      <c r="L28" s="398"/>
      <c r="M28" s="82"/>
      <c r="N28" s="403" t="str">
        <f t="shared" si="0"/>
        <v/>
      </c>
      <c r="O28" s="404" t="str">
        <f t="shared" si="1"/>
        <v/>
      </c>
      <c r="P28" s="403" t="str">
        <f t="shared" si="2"/>
        <v/>
      </c>
      <c r="Q28" s="405" t="str">
        <f t="shared" si="3"/>
        <v/>
      </c>
      <c r="R28" s="406" t="str">
        <f t="shared" si="4"/>
        <v/>
      </c>
      <c r="S28" s="404" t="str">
        <f t="shared" si="5"/>
        <v/>
      </c>
      <c r="T28" s="403" t="str">
        <f t="shared" si="6"/>
        <v/>
      </c>
      <c r="U28" s="405" t="str">
        <f t="shared" si="7"/>
        <v/>
      </c>
      <c r="V28" s="406" t="str">
        <f t="shared" si="8"/>
        <v/>
      </c>
      <c r="W28" s="404" t="str">
        <f t="shared" si="9"/>
        <v/>
      </c>
      <c r="X28" s="403" t="str">
        <f t="shared" si="10"/>
        <v/>
      </c>
      <c r="Y28" s="405" t="str">
        <f t="shared" si="11"/>
        <v/>
      </c>
      <c r="Z28" s="406" t="str">
        <f t="shared" si="12"/>
        <v/>
      </c>
      <c r="AA28" s="404" t="str">
        <f t="shared" si="13"/>
        <v/>
      </c>
      <c r="AB28" s="403" t="str">
        <f t="shared" si="14"/>
        <v/>
      </c>
      <c r="AC28" s="405" t="str">
        <f t="shared" si="15"/>
        <v/>
      </c>
      <c r="AD28" s="406" t="str">
        <f t="shared" si="16"/>
        <v/>
      </c>
      <c r="AE28" s="404" t="str">
        <f t="shared" si="17"/>
        <v/>
      </c>
      <c r="AF28" s="403" t="str">
        <f t="shared" si="18"/>
        <v/>
      </c>
      <c r="AG28" s="405" t="str">
        <f t="shared" si="19"/>
        <v/>
      </c>
      <c r="AH28" s="406" t="str">
        <f t="shared" si="20"/>
        <v/>
      </c>
      <c r="AI28" s="404" t="str">
        <f t="shared" si="21"/>
        <v/>
      </c>
      <c r="AJ28" s="403" t="str">
        <f t="shared" si="22"/>
        <v/>
      </c>
      <c r="AK28" s="407" t="str">
        <f t="shared" si="23"/>
        <v/>
      </c>
      <c r="AL28" s="408" t="str">
        <f t="shared" si="24"/>
        <v/>
      </c>
      <c r="AM28" s="404" t="str">
        <f t="shared" si="25"/>
        <v/>
      </c>
      <c r="AN28" s="38"/>
    </row>
    <row r="29" spans="1:40" s="163" customFormat="1" ht="15" x14ac:dyDescent="0.2">
      <c r="A29" s="36"/>
      <c r="B29" s="82"/>
      <c r="C29" s="394"/>
      <c r="D29" s="395"/>
      <c r="E29" s="396"/>
      <c r="F29" s="396"/>
      <c r="G29" s="396"/>
      <c r="H29" s="396"/>
      <c r="I29" s="396"/>
      <c r="J29" s="397"/>
      <c r="K29" s="396"/>
      <c r="L29" s="398"/>
      <c r="M29" s="82"/>
      <c r="N29" s="403" t="str">
        <f t="shared" si="0"/>
        <v/>
      </c>
      <c r="O29" s="404" t="str">
        <f t="shared" si="1"/>
        <v/>
      </c>
      <c r="P29" s="403" t="str">
        <f t="shared" si="2"/>
        <v/>
      </c>
      <c r="Q29" s="405" t="str">
        <f t="shared" si="3"/>
        <v/>
      </c>
      <c r="R29" s="406" t="str">
        <f t="shared" si="4"/>
        <v/>
      </c>
      <c r="S29" s="404" t="str">
        <f t="shared" si="5"/>
        <v/>
      </c>
      <c r="T29" s="403" t="str">
        <f t="shared" si="6"/>
        <v/>
      </c>
      <c r="U29" s="405" t="str">
        <f t="shared" si="7"/>
        <v/>
      </c>
      <c r="V29" s="406" t="str">
        <f t="shared" si="8"/>
        <v/>
      </c>
      <c r="W29" s="404" t="str">
        <f t="shared" si="9"/>
        <v/>
      </c>
      <c r="X29" s="403" t="str">
        <f t="shared" si="10"/>
        <v/>
      </c>
      <c r="Y29" s="405" t="str">
        <f t="shared" si="11"/>
        <v/>
      </c>
      <c r="Z29" s="406" t="str">
        <f t="shared" si="12"/>
        <v/>
      </c>
      <c r="AA29" s="404" t="str">
        <f t="shared" si="13"/>
        <v/>
      </c>
      <c r="AB29" s="403" t="str">
        <f t="shared" si="14"/>
        <v/>
      </c>
      <c r="AC29" s="405" t="str">
        <f t="shared" si="15"/>
        <v/>
      </c>
      <c r="AD29" s="406" t="str">
        <f t="shared" si="16"/>
        <v/>
      </c>
      <c r="AE29" s="404" t="str">
        <f t="shared" si="17"/>
        <v/>
      </c>
      <c r="AF29" s="403" t="str">
        <f t="shared" si="18"/>
        <v/>
      </c>
      <c r="AG29" s="405" t="str">
        <f t="shared" si="19"/>
        <v/>
      </c>
      <c r="AH29" s="406" t="str">
        <f t="shared" si="20"/>
        <v/>
      </c>
      <c r="AI29" s="404" t="str">
        <f t="shared" si="21"/>
        <v/>
      </c>
      <c r="AJ29" s="403" t="str">
        <f t="shared" si="22"/>
        <v/>
      </c>
      <c r="AK29" s="407" t="str">
        <f t="shared" si="23"/>
        <v/>
      </c>
      <c r="AL29" s="408" t="str">
        <f t="shared" si="24"/>
        <v/>
      </c>
      <c r="AM29" s="404" t="str">
        <f t="shared" si="25"/>
        <v/>
      </c>
      <c r="AN29" s="38"/>
    </row>
    <row r="30" spans="1:40" s="163" customFormat="1" ht="15" x14ac:dyDescent="0.2">
      <c r="A30" s="36"/>
      <c r="B30" s="82"/>
      <c r="C30" s="394"/>
      <c r="D30" s="395"/>
      <c r="E30" s="396"/>
      <c r="F30" s="396"/>
      <c r="G30" s="396"/>
      <c r="H30" s="396"/>
      <c r="I30" s="396"/>
      <c r="J30" s="397"/>
      <c r="K30" s="396"/>
      <c r="L30" s="398"/>
      <c r="M30" s="82"/>
      <c r="N30" s="403" t="str">
        <f t="shared" si="0"/>
        <v/>
      </c>
      <c r="O30" s="404" t="str">
        <f t="shared" si="1"/>
        <v/>
      </c>
      <c r="P30" s="403" t="str">
        <f t="shared" si="2"/>
        <v/>
      </c>
      <c r="Q30" s="405" t="str">
        <f t="shared" si="3"/>
        <v/>
      </c>
      <c r="R30" s="406" t="str">
        <f t="shared" si="4"/>
        <v/>
      </c>
      <c r="S30" s="404" t="str">
        <f t="shared" si="5"/>
        <v/>
      </c>
      <c r="T30" s="403" t="str">
        <f t="shared" si="6"/>
        <v/>
      </c>
      <c r="U30" s="405" t="str">
        <f t="shared" si="7"/>
        <v/>
      </c>
      <c r="V30" s="406" t="str">
        <f t="shared" si="8"/>
        <v/>
      </c>
      <c r="W30" s="404" t="str">
        <f t="shared" si="9"/>
        <v/>
      </c>
      <c r="X30" s="403" t="str">
        <f t="shared" si="10"/>
        <v/>
      </c>
      <c r="Y30" s="405" t="str">
        <f t="shared" si="11"/>
        <v/>
      </c>
      <c r="Z30" s="406" t="str">
        <f t="shared" si="12"/>
        <v/>
      </c>
      <c r="AA30" s="404" t="str">
        <f t="shared" si="13"/>
        <v/>
      </c>
      <c r="AB30" s="403" t="str">
        <f t="shared" si="14"/>
        <v/>
      </c>
      <c r="AC30" s="405" t="str">
        <f t="shared" si="15"/>
        <v/>
      </c>
      <c r="AD30" s="406" t="str">
        <f t="shared" si="16"/>
        <v/>
      </c>
      <c r="AE30" s="404" t="str">
        <f t="shared" si="17"/>
        <v/>
      </c>
      <c r="AF30" s="403" t="str">
        <f t="shared" si="18"/>
        <v/>
      </c>
      <c r="AG30" s="405" t="str">
        <f t="shared" si="19"/>
        <v/>
      </c>
      <c r="AH30" s="406" t="str">
        <f t="shared" si="20"/>
        <v/>
      </c>
      <c r="AI30" s="404" t="str">
        <f t="shared" si="21"/>
        <v/>
      </c>
      <c r="AJ30" s="403" t="str">
        <f t="shared" si="22"/>
        <v/>
      </c>
      <c r="AK30" s="407" t="str">
        <f t="shared" si="23"/>
        <v/>
      </c>
      <c r="AL30" s="408" t="str">
        <f t="shared" si="24"/>
        <v/>
      </c>
      <c r="AM30" s="404" t="str">
        <f t="shared" si="25"/>
        <v/>
      </c>
      <c r="AN30" s="38"/>
    </row>
    <row r="31" spans="1:40" s="163" customFormat="1" ht="15" x14ac:dyDescent="0.2">
      <c r="A31" s="36"/>
      <c r="B31" s="82"/>
      <c r="C31" s="394"/>
      <c r="D31" s="395"/>
      <c r="E31" s="396"/>
      <c r="F31" s="396"/>
      <c r="G31" s="396"/>
      <c r="H31" s="396"/>
      <c r="I31" s="396"/>
      <c r="J31" s="397"/>
      <c r="K31" s="396"/>
      <c r="L31" s="398"/>
      <c r="M31" s="82"/>
      <c r="N31" s="403" t="str">
        <f t="shared" si="0"/>
        <v/>
      </c>
      <c r="O31" s="404" t="str">
        <f t="shared" si="1"/>
        <v/>
      </c>
      <c r="P31" s="403" t="str">
        <f t="shared" si="2"/>
        <v/>
      </c>
      <c r="Q31" s="405" t="str">
        <f t="shared" si="3"/>
        <v/>
      </c>
      <c r="R31" s="406" t="str">
        <f t="shared" si="4"/>
        <v/>
      </c>
      <c r="S31" s="404" t="str">
        <f t="shared" si="5"/>
        <v/>
      </c>
      <c r="T31" s="403" t="str">
        <f t="shared" si="6"/>
        <v/>
      </c>
      <c r="U31" s="405" t="str">
        <f t="shared" si="7"/>
        <v/>
      </c>
      <c r="V31" s="406" t="str">
        <f t="shared" si="8"/>
        <v/>
      </c>
      <c r="W31" s="404" t="str">
        <f t="shared" si="9"/>
        <v/>
      </c>
      <c r="X31" s="403" t="str">
        <f t="shared" si="10"/>
        <v/>
      </c>
      <c r="Y31" s="405" t="str">
        <f t="shared" si="11"/>
        <v/>
      </c>
      <c r="Z31" s="406" t="str">
        <f t="shared" si="12"/>
        <v/>
      </c>
      <c r="AA31" s="404" t="str">
        <f t="shared" si="13"/>
        <v/>
      </c>
      <c r="AB31" s="403" t="str">
        <f t="shared" si="14"/>
        <v/>
      </c>
      <c r="AC31" s="405" t="str">
        <f t="shared" si="15"/>
        <v/>
      </c>
      <c r="AD31" s="406" t="str">
        <f t="shared" si="16"/>
        <v/>
      </c>
      <c r="AE31" s="404" t="str">
        <f t="shared" si="17"/>
        <v/>
      </c>
      <c r="AF31" s="403" t="str">
        <f t="shared" si="18"/>
        <v/>
      </c>
      <c r="AG31" s="405" t="str">
        <f t="shared" si="19"/>
        <v/>
      </c>
      <c r="AH31" s="406" t="str">
        <f t="shared" si="20"/>
        <v/>
      </c>
      <c r="AI31" s="404" t="str">
        <f t="shared" si="21"/>
        <v/>
      </c>
      <c r="AJ31" s="403" t="str">
        <f t="shared" si="22"/>
        <v/>
      </c>
      <c r="AK31" s="407" t="str">
        <f t="shared" si="23"/>
        <v/>
      </c>
      <c r="AL31" s="408" t="str">
        <f t="shared" si="24"/>
        <v/>
      </c>
      <c r="AM31" s="404" t="str">
        <f t="shared" si="25"/>
        <v/>
      </c>
      <c r="AN31" s="38"/>
    </row>
    <row r="32" spans="1:40" s="163" customFormat="1" ht="15" x14ac:dyDescent="0.2">
      <c r="A32" s="36"/>
      <c r="B32" s="82"/>
      <c r="C32" s="394"/>
      <c r="D32" s="395"/>
      <c r="E32" s="396"/>
      <c r="F32" s="396"/>
      <c r="G32" s="396"/>
      <c r="H32" s="396"/>
      <c r="I32" s="396"/>
      <c r="J32" s="397"/>
      <c r="K32" s="396"/>
      <c r="L32" s="398"/>
      <c r="M32" s="82"/>
      <c r="N32" s="403" t="str">
        <f t="shared" si="0"/>
        <v/>
      </c>
      <c r="O32" s="404" t="str">
        <f t="shared" si="1"/>
        <v/>
      </c>
      <c r="P32" s="403" t="str">
        <f t="shared" si="2"/>
        <v/>
      </c>
      <c r="Q32" s="405" t="str">
        <f t="shared" si="3"/>
        <v/>
      </c>
      <c r="R32" s="406" t="str">
        <f t="shared" si="4"/>
        <v/>
      </c>
      <c r="S32" s="404" t="str">
        <f t="shared" si="5"/>
        <v/>
      </c>
      <c r="T32" s="403" t="str">
        <f t="shared" si="6"/>
        <v/>
      </c>
      <c r="U32" s="405" t="str">
        <f t="shared" si="7"/>
        <v/>
      </c>
      <c r="V32" s="406" t="str">
        <f t="shared" si="8"/>
        <v/>
      </c>
      <c r="W32" s="404" t="str">
        <f t="shared" si="9"/>
        <v/>
      </c>
      <c r="X32" s="403" t="str">
        <f t="shared" si="10"/>
        <v/>
      </c>
      <c r="Y32" s="405" t="str">
        <f t="shared" si="11"/>
        <v/>
      </c>
      <c r="Z32" s="406" t="str">
        <f t="shared" si="12"/>
        <v/>
      </c>
      <c r="AA32" s="404" t="str">
        <f t="shared" si="13"/>
        <v/>
      </c>
      <c r="AB32" s="403" t="str">
        <f t="shared" si="14"/>
        <v/>
      </c>
      <c r="AC32" s="405" t="str">
        <f t="shared" si="15"/>
        <v/>
      </c>
      <c r="AD32" s="406" t="str">
        <f t="shared" si="16"/>
        <v/>
      </c>
      <c r="AE32" s="404" t="str">
        <f t="shared" si="17"/>
        <v/>
      </c>
      <c r="AF32" s="403" t="str">
        <f t="shared" si="18"/>
        <v/>
      </c>
      <c r="AG32" s="405" t="str">
        <f t="shared" si="19"/>
        <v/>
      </c>
      <c r="AH32" s="406" t="str">
        <f t="shared" si="20"/>
        <v/>
      </c>
      <c r="AI32" s="404" t="str">
        <f t="shared" si="21"/>
        <v/>
      </c>
      <c r="AJ32" s="403" t="str">
        <f t="shared" si="22"/>
        <v/>
      </c>
      <c r="AK32" s="407" t="str">
        <f t="shared" si="23"/>
        <v/>
      </c>
      <c r="AL32" s="408" t="str">
        <f t="shared" si="24"/>
        <v/>
      </c>
      <c r="AM32" s="404" t="str">
        <f t="shared" si="25"/>
        <v/>
      </c>
      <c r="AN32" s="38"/>
    </row>
    <row r="33" spans="1:40" s="163" customFormat="1" ht="15" x14ac:dyDescent="0.2">
      <c r="A33" s="36"/>
      <c r="B33" s="82"/>
      <c r="C33" s="394"/>
      <c r="D33" s="395"/>
      <c r="E33" s="396"/>
      <c r="F33" s="396"/>
      <c r="G33" s="396"/>
      <c r="H33" s="396"/>
      <c r="I33" s="396"/>
      <c r="J33" s="397"/>
      <c r="K33" s="396"/>
      <c r="L33" s="398"/>
      <c r="M33" s="82"/>
      <c r="N33" s="403" t="str">
        <f t="shared" si="0"/>
        <v/>
      </c>
      <c r="O33" s="404" t="str">
        <f t="shared" si="1"/>
        <v/>
      </c>
      <c r="P33" s="403" t="str">
        <f t="shared" si="2"/>
        <v/>
      </c>
      <c r="Q33" s="405" t="str">
        <f t="shared" si="3"/>
        <v/>
      </c>
      <c r="R33" s="406" t="str">
        <f t="shared" si="4"/>
        <v/>
      </c>
      <c r="S33" s="404" t="str">
        <f t="shared" si="5"/>
        <v/>
      </c>
      <c r="T33" s="403" t="str">
        <f t="shared" si="6"/>
        <v/>
      </c>
      <c r="U33" s="405" t="str">
        <f t="shared" si="7"/>
        <v/>
      </c>
      <c r="V33" s="406" t="str">
        <f t="shared" si="8"/>
        <v/>
      </c>
      <c r="W33" s="404" t="str">
        <f t="shared" si="9"/>
        <v/>
      </c>
      <c r="X33" s="403" t="str">
        <f t="shared" si="10"/>
        <v/>
      </c>
      <c r="Y33" s="405" t="str">
        <f t="shared" si="11"/>
        <v/>
      </c>
      <c r="Z33" s="406" t="str">
        <f t="shared" si="12"/>
        <v/>
      </c>
      <c r="AA33" s="404" t="str">
        <f t="shared" si="13"/>
        <v/>
      </c>
      <c r="AB33" s="403" t="str">
        <f t="shared" si="14"/>
        <v/>
      </c>
      <c r="AC33" s="405" t="str">
        <f t="shared" si="15"/>
        <v/>
      </c>
      <c r="AD33" s="406" t="str">
        <f t="shared" si="16"/>
        <v/>
      </c>
      <c r="AE33" s="404" t="str">
        <f t="shared" si="17"/>
        <v/>
      </c>
      <c r="AF33" s="403" t="str">
        <f t="shared" si="18"/>
        <v/>
      </c>
      <c r="AG33" s="405" t="str">
        <f t="shared" si="19"/>
        <v/>
      </c>
      <c r="AH33" s="406" t="str">
        <f t="shared" si="20"/>
        <v/>
      </c>
      <c r="AI33" s="404" t="str">
        <f t="shared" si="21"/>
        <v/>
      </c>
      <c r="AJ33" s="403" t="str">
        <f t="shared" si="22"/>
        <v/>
      </c>
      <c r="AK33" s="407" t="str">
        <f t="shared" si="23"/>
        <v/>
      </c>
      <c r="AL33" s="408" t="str">
        <f t="shared" si="24"/>
        <v/>
      </c>
      <c r="AM33" s="404" t="str">
        <f t="shared" si="25"/>
        <v/>
      </c>
      <c r="AN33" s="38"/>
    </row>
    <row r="34" spans="1:40" s="163" customFormat="1" ht="15" x14ac:dyDescent="0.2">
      <c r="A34" s="36"/>
      <c r="B34" s="82"/>
      <c r="C34" s="394"/>
      <c r="D34" s="395"/>
      <c r="E34" s="396"/>
      <c r="F34" s="396"/>
      <c r="G34" s="396"/>
      <c r="H34" s="396"/>
      <c r="I34" s="396"/>
      <c r="J34" s="397"/>
      <c r="K34" s="396"/>
      <c r="L34" s="398"/>
      <c r="M34" s="82"/>
      <c r="N34" s="403" t="str">
        <f t="shared" si="0"/>
        <v/>
      </c>
      <c r="O34" s="404" t="str">
        <f t="shared" si="1"/>
        <v/>
      </c>
      <c r="P34" s="403" t="str">
        <f t="shared" si="2"/>
        <v/>
      </c>
      <c r="Q34" s="405" t="str">
        <f t="shared" si="3"/>
        <v/>
      </c>
      <c r="R34" s="406" t="str">
        <f t="shared" si="4"/>
        <v/>
      </c>
      <c r="S34" s="404" t="str">
        <f t="shared" si="5"/>
        <v/>
      </c>
      <c r="T34" s="403" t="str">
        <f t="shared" si="6"/>
        <v/>
      </c>
      <c r="U34" s="405" t="str">
        <f t="shared" si="7"/>
        <v/>
      </c>
      <c r="V34" s="406" t="str">
        <f t="shared" si="8"/>
        <v/>
      </c>
      <c r="W34" s="404" t="str">
        <f t="shared" si="9"/>
        <v/>
      </c>
      <c r="X34" s="403" t="str">
        <f t="shared" si="10"/>
        <v/>
      </c>
      <c r="Y34" s="405" t="str">
        <f t="shared" si="11"/>
        <v/>
      </c>
      <c r="Z34" s="406" t="str">
        <f t="shared" si="12"/>
        <v/>
      </c>
      <c r="AA34" s="404" t="str">
        <f t="shared" si="13"/>
        <v/>
      </c>
      <c r="AB34" s="403" t="str">
        <f t="shared" si="14"/>
        <v/>
      </c>
      <c r="AC34" s="405" t="str">
        <f t="shared" si="15"/>
        <v/>
      </c>
      <c r="AD34" s="406" t="str">
        <f t="shared" si="16"/>
        <v/>
      </c>
      <c r="AE34" s="404" t="str">
        <f t="shared" si="17"/>
        <v/>
      </c>
      <c r="AF34" s="403" t="str">
        <f t="shared" si="18"/>
        <v/>
      </c>
      <c r="AG34" s="405" t="str">
        <f t="shared" si="19"/>
        <v/>
      </c>
      <c r="AH34" s="406" t="str">
        <f t="shared" si="20"/>
        <v/>
      </c>
      <c r="AI34" s="404" t="str">
        <f t="shared" si="21"/>
        <v/>
      </c>
      <c r="AJ34" s="403" t="str">
        <f t="shared" si="22"/>
        <v/>
      </c>
      <c r="AK34" s="407" t="str">
        <f t="shared" si="23"/>
        <v/>
      </c>
      <c r="AL34" s="408" t="str">
        <f t="shared" si="24"/>
        <v/>
      </c>
      <c r="AM34" s="404" t="str">
        <f t="shared" si="25"/>
        <v/>
      </c>
      <c r="AN34" s="38"/>
    </row>
    <row r="35" spans="1:40" s="163" customFormat="1" ht="15" x14ac:dyDescent="0.2">
      <c r="A35" s="36"/>
      <c r="B35" s="82"/>
      <c r="C35" s="394"/>
      <c r="D35" s="395"/>
      <c r="E35" s="396"/>
      <c r="F35" s="396"/>
      <c r="G35" s="396"/>
      <c r="H35" s="396"/>
      <c r="I35" s="396"/>
      <c r="J35" s="397"/>
      <c r="K35" s="396"/>
      <c r="L35" s="398"/>
      <c r="M35" s="82"/>
      <c r="N35" s="403" t="str">
        <f t="shared" si="0"/>
        <v/>
      </c>
      <c r="O35" s="404" t="str">
        <f t="shared" si="1"/>
        <v/>
      </c>
      <c r="P35" s="403" t="str">
        <f t="shared" si="2"/>
        <v/>
      </c>
      <c r="Q35" s="405" t="str">
        <f t="shared" si="3"/>
        <v/>
      </c>
      <c r="R35" s="406" t="str">
        <f t="shared" si="4"/>
        <v/>
      </c>
      <c r="S35" s="404" t="str">
        <f t="shared" si="5"/>
        <v/>
      </c>
      <c r="T35" s="403" t="str">
        <f t="shared" si="6"/>
        <v/>
      </c>
      <c r="U35" s="405" t="str">
        <f t="shared" si="7"/>
        <v/>
      </c>
      <c r="V35" s="406" t="str">
        <f t="shared" si="8"/>
        <v/>
      </c>
      <c r="W35" s="404" t="str">
        <f t="shared" si="9"/>
        <v/>
      </c>
      <c r="X35" s="403" t="str">
        <f t="shared" si="10"/>
        <v/>
      </c>
      <c r="Y35" s="405" t="str">
        <f t="shared" si="11"/>
        <v/>
      </c>
      <c r="Z35" s="406" t="str">
        <f t="shared" si="12"/>
        <v/>
      </c>
      <c r="AA35" s="404" t="str">
        <f t="shared" si="13"/>
        <v/>
      </c>
      <c r="AB35" s="403" t="str">
        <f t="shared" si="14"/>
        <v/>
      </c>
      <c r="AC35" s="405" t="str">
        <f t="shared" si="15"/>
        <v/>
      </c>
      <c r="AD35" s="406" t="str">
        <f t="shared" si="16"/>
        <v/>
      </c>
      <c r="AE35" s="404" t="str">
        <f t="shared" si="17"/>
        <v/>
      </c>
      <c r="AF35" s="403" t="str">
        <f t="shared" si="18"/>
        <v/>
      </c>
      <c r="AG35" s="405" t="str">
        <f t="shared" si="19"/>
        <v/>
      </c>
      <c r="AH35" s="406" t="str">
        <f t="shared" si="20"/>
        <v/>
      </c>
      <c r="AI35" s="404" t="str">
        <f t="shared" si="21"/>
        <v/>
      </c>
      <c r="AJ35" s="403" t="str">
        <f t="shared" si="22"/>
        <v/>
      </c>
      <c r="AK35" s="407" t="str">
        <f t="shared" si="23"/>
        <v/>
      </c>
      <c r="AL35" s="408" t="str">
        <f t="shared" si="24"/>
        <v/>
      </c>
      <c r="AM35" s="404" t="str">
        <f t="shared" si="25"/>
        <v/>
      </c>
      <c r="AN35" s="38"/>
    </row>
    <row r="36" spans="1:40" s="163" customFormat="1" ht="15" x14ac:dyDescent="0.2">
      <c r="A36" s="36"/>
      <c r="B36" s="82"/>
      <c r="C36" s="394"/>
      <c r="D36" s="395"/>
      <c r="E36" s="396"/>
      <c r="F36" s="396"/>
      <c r="G36" s="396"/>
      <c r="H36" s="396"/>
      <c r="I36" s="396"/>
      <c r="J36" s="397"/>
      <c r="K36" s="396"/>
      <c r="L36" s="398"/>
      <c r="M36" s="82"/>
      <c r="N36" s="403" t="str">
        <f t="shared" si="0"/>
        <v/>
      </c>
      <c r="O36" s="404" t="str">
        <f t="shared" si="1"/>
        <v/>
      </c>
      <c r="P36" s="403" t="str">
        <f t="shared" si="2"/>
        <v/>
      </c>
      <c r="Q36" s="405" t="str">
        <f t="shared" si="3"/>
        <v/>
      </c>
      <c r="R36" s="406" t="str">
        <f t="shared" si="4"/>
        <v/>
      </c>
      <c r="S36" s="404" t="str">
        <f t="shared" si="5"/>
        <v/>
      </c>
      <c r="T36" s="403" t="str">
        <f t="shared" si="6"/>
        <v/>
      </c>
      <c r="U36" s="405" t="str">
        <f t="shared" si="7"/>
        <v/>
      </c>
      <c r="V36" s="406" t="str">
        <f t="shared" si="8"/>
        <v/>
      </c>
      <c r="W36" s="404" t="str">
        <f t="shared" si="9"/>
        <v/>
      </c>
      <c r="X36" s="403" t="str">
        <f t="shared" si="10"/>
        <v/>
      </c>
      <c r="Y36" s="405" t="str">
        <f t="shared" si="11"/>
        <v/>
      </c>
      <c r="Z36" s="406" t="str">
        <f t="shared" si="12"/>
        <v/>
      </c>
      <c r="AA36" s="404" t="str">
        <f t="shared" si="13"/>
        <v/>
      </c>
      <c r="AB36" s="403" t="str">
        <f t="shared" si="14"/>
        <v/>
      </c>
      <c r="AC36" s="405" t="str">
        <f t="shared" si="15"/>
        <v/>
      </c>
      <c r="AD36" s="406" t="str">
        <f t="shared" si="16"/>
        <v/>
      </c>
      <c r="AE36" s="404" t="str">
        <f t="shared" si="17"/>
        <v/>
      </c>
      <c r="AF36" s="403" t="str">
        <f t="shared" si="18"/>
        <v/>
      </c>
      <c r="AG36" s="405" t="str">
        <f t="shared" si="19"/>
        <v/>
      </c>
      <c r="AH36" s="406" t="str">
        <f t="shared" si="20"/>
        <v/>
      </c>
      <c r="AI36" s="404" t="str">
        <f t="shared" si="21"/>
        <v/>
      </c>
      <c r="AJ36" s="403" t="str">
        <f t="shared" si="22"/>
        <v/>
      </c>
      <c r="AK36" s="407" t="str">
        <f t="shared" si="23"/>
        <v/>
      </c>
      <c r="AL36" s="408" t="str">
        <f t="shared" si="24"/>
        <v/>
      </c>
      <c r="AM36" s="404" t="str">
        <f t="shared" si="25"/>
        <v/>
      </c>
      <c r="AN36" s="38"/>
    </row>
    <row r="37" spans="1:40" s="163" customFormat="1" ht="15" x14ac:dyDescent="0.2">
      <c r="A37" s="36"/>
      <c r="B37" s="82"/>
      <c r="C37" s="394"/>
      <c r="D37" s="395"/>
      <c r="E37" s="396"/>
      <c r="F37" s="396"/>
      <c r="G37" s="396"/>
      <c r="H37" s="396"/>
      <c r="I37" s="396"/>
      <c r="J37" s="397"/>
      <c r="K37" s="396"/>
      <c r="L37" s="398"/>
      <c r="M37" s="82"/>
      <c r="N37" s="403" t="str">
        <f t="shared" si="0"/>
        <v/>
      </c>
      <c r="O37" s="404" t="str">
        <f t="shared" si="1"/>
        <v/>
      </c>
      <c r="P37" s="403" t="str">
        <f t="shared" si="2"/>
        <v/>
      </c>
      <c r="Q37" s="405" t="str">
        <f t="shared" si="3"/>
        <v/>
      </c>
      <c r="R37" s="406" t="str">
        <f t="shared" si="4"/>
        <v/>
      </c>
      <c r="S37" s="404" t="str">
        <f t="shared" si="5"/>
        <v/>
      </c>
      <c r="T37" s="403" t="str">
        <f t="shared" si="6"/>
        <v/>
      </c>
      <c r="U37" s="405" t="str">
        <f t="shared" si="7"/>
        <v/>
      </c>
      <c r="V37" s="406" t="str">
        <f t="shared" si="8"/>
        <v/>
      </c>
      <c r="W37" s="404" t="str">
        <f t="shared" si="9"/>
        <v/>
      </c>
      <c r="X37" s="403" t="str">
        <f t="shared" si="10"/>
        <v/>
      </c>
      <c r="Y37" s="405" t="str">
        <f t="shared" si="11"/>
        <v/>
      </c>
      <c r="Z37" s="406" t="str">
        <f t="shared" si="12"/>
        <v/>
      </c>
      <c r="AA37" s="404" t="str">
        <f t="shared" si="13"/>
        <v/>
      </c>
      <c r="AB37" s="403" t="str">
        <f t="shared" si="14"/>
        <v/>
      </c>
      <c r="AC37" s="405" t="str">
        <f t="shared" si="15"/>
        <v/>
      </c>
      <c r="AD37" s="406" t="str">
        <f t="shared" si="16"/>
        <v/>
      </c>
      <c r="AE37" s="404" t="str">
        <f t="shared" si="17"/>
        <v/>
      </c>
      <c r="AF37" s="403" t="str">
        <f t="shared" si="18"/>
        <v/>
      </c>
      <c r="AG37" s="405" t="str">
        <f t="shared" si="19"/>
        <v/>
      </c>
      <c r="AH37" s="406" t="str">
        <f t="shared" si="20"/>
        <v/>
      </c>
      <c r="AI37" s="404" t="str">
        <f t="shared" si="21"/>
        <v/>
      </c>
      <c r="AJ37" s="403" t="str">
        <f t="shared" si="22"/>
        <v/>
      </c>
      <c r="AK37" s="407" t="str">
        <f t="shared" si="23"/>
        <v/>
      </c>
      <c r="AL37" s="408" t="str">
        <f t="shared" si="24"/>
        <v/>
      </c>
      <c r="AM37" s="404" t="str">
        <f t="shared" si="25"/>
        <v/>
      </c>
      <c r="AN37" s="38"/>
    </row>
    <row r="38" spans="1:40" s="163" customFormat="1" ht="15" x14ac:dyDescent="0.2">
      <c r="A38" s="36"/>
      <c r="B38" s="82"/>
      <c r="C38" s="394"/>
      <c r="D38" s="395"/>
      <c r="E38" s="396"/>
      <c r="F38" s="396"/>
      <c r="G38" s="396"/>
      <c r="H38" s="396"/>
      <c r="I38" s="396"/>
      <c r="J38" s="397"/>
      <c r="K38" s="396"/>
      <c r="L38" s="398"/>
      <c r="M38" s="82"/>
      <c r="N38" s="403" t="str">
        <f t="shared" si="0"/>
        <v/>
      </c>
      <c r="O38" s="404" t="str">
        <f t="shared" si="1"/>
        <v/>
      </c>
      <c r="P38" s="403" t="str">
        <f t="shared" si="2"/>
        <v/>
      </c>
      <c r="Q38" s="405" t="str">
        <f t="shared" si="3"/>
        <v/>
      </c>
      <c r="R38" s="406" t="str">
        <f t="shared" si="4"/>
        <v/>
      </c>
      <c r="S38" s="404" t="str">
        <f t="shared" si="5"/>
        <v/>
      </c>
      <c r="T38" s="403" t="str">
        <f t="shared" si="6"/>
        <v/>
      </c>
      <c r="U38" s="405" t="str">
        <f t="shared" si="7"/>
        <v/>
      </c>
      <c r="V38" s="406" t="str">
        <f t="shared" si="8"/>
        <v/>
      </c>
      <c r="W38" s="404" t="str">
        <f t="shared" si="9"/>
        <v/>
      </c>
      <c r="X38" s="403" t="str">
        <f t="shared" si="10"/>
        <v/>
      </c>
      <c r="Y38" s="405" t="str">
        <f t="shared" si="11"/>
        <v/>
      </c>
      <c r="Z38" s="406" t="str">
        <f t="shared" si="12"/>
        <v/>
      </c>
      <c r="AA38" s="404" t="str">
        <f t="shared" si="13"/>
        <v/>
      </c>
      <c r="AB38" s="403" t="str">
        <f t="shared" si="14"/>
        <v/>
      </c>
      <c r="AC38" s="405" t="str">
        <f t="shared" si="15"/>
        <v/>
      </c>
      <c r="AD38" s="406" t="str">
        <f t="shared" si="16"/>
        <v/>
      </c>
      <c r="AE38" s="404" t="str">
        <f t="shared" si="17"/>
        <v/>
      </c>
      <c r="AF38" s="403" t="str">
        <f t="shared" si="18"/>
        <v/>
      </c>
      <c r="AG38" s="405" t="str">
        <f t="shared" si="19"/>
        <v/>
      </c>
      <c r="AH38" s="406" t="str">
        <f t="shared" si="20"/>
        <v/>
      </c>
      <c r="AI38" s="404" t="str">
        <f t="shared" si="21"/>
        <v/>
      </c>
      <c r="AJ38" s="403" t="str">
        <f t="shared" si="22"/>
        <v/>
      </c>
      <c r="AK38" s="407" t="str">
        <f t="shared" si="23"/>
        <v/>
      </c>
      <c r="AL38" s="408" t="str">
        <f t="shared" si="24"/>
        <v/>
      </c>
      <c r="AM38" s="404" t="str">
        <f t="shared" si="25"/>
        <v/>
      </c>
      <c r="AN38" s="38"/>
    </row>
    <row r="39" spans="1:40" s="163" customFormat="1" ht="15" x14ac:dyDescent="0.2">
      <c r="A39" s="36"/>
      <c r="B39" s="82"/>
      <c r="C39" s="394"/>
      <c r="D39" s="395"/>
      <c r="E39" s="396"/>
      <c r="F39" s="396"/>
      <c r="G39" s="396"/>
      <c r="H39" s="396"/>
      <c r="I39" s="396"/>
      <c r="J39" s="397"/>
      <c r="K39" s="396"/>
      <c r="L39" s="398"/>
      <c r="M39" s="82"/>
      <c r="N39" s="403" t="str">
        <f t="shared" si="0"/>
        <v/>
      </c>
      <c r="O39" s="404" t="str">
        <f t="shared" si="1"/>
        <v/>
      </c>
      <c r="P39" s="403" t="str">
        <f t="shared" si="2"/>
        <v/>
      </c>
      <c r="Q39" s="405" t="str">
        <f t="shared" si="3"/>
        <v/>
      </c>
      <c r="R39" s="406" t="str">
        <f t="shared" si="4"/>
        <v/>
      </c>
      <c r="S39" s="404" t="str">
        <f t="shared" si="5"/>
        <v/>
      </c>
      <c r="T39" s="403" t="str">
        <f t="shared" si="6"/>
        <v/>
      </c>
      <c r="U39" s="405" t="str">
        <f t="shared" si="7"/>
        <v/>
      </c>
      <c r="V39" s="406" t="str">
        <f t="shared" si="8"/>
        <v/>
      </c>
      <c r="W39" s="404" t="str">
        <f t="shared" si="9"/>
        <v/>
      </c>
      <c r="X39" s="403" t="str">
        <f t="shared" si="10"/>
        <v/>
      </c>
      <c r="Y39" s="405" t="str">
        <f t="shared" si="11"/>
        <v/>
      </c>
      <c r="Z39" s="406" t="str">
        <f t="shared" si="12"/>
        <v/>
      </c>
      <c r="AA39" s="404" t="str">
        <f t="shared" si="13"/>
        <v/>
      </c>
      <c r="AB39" s="403" t="str">
        <f t="shared" si="14"/>
        <v/>
      </c>
      <c r="AC39" s="405" t="str">
        <f t="shared" si="15"/>
        <v/>
      </c>
      <c r="AD39" s="406" t="str">
        <f t="shared" si="16"/>
        <v/>
      </c>
      <c r="AE39" s="404" t="str">
        <f t="shared" si="17"/>
        <v/>
      </c>
      <c r="AF39" s="403" t="str">
        <f t="shared" si="18"/>
        <v/>
      </c>
      <c r="AG39" s="405" t="str">
        <f t="shared" si="19"/>
        <v/>
      </c>
      <c r="AH39" s="406" t="str">
        <f t="shared" si="20"/>
        <v/>
      </c>
      <c r="AI39" s="404" t="str">
        <f t="shared" si="21"/>
        <v/>
      </c>
      <c r="AJ39" s="403" t="str">
        <f t="shared" si="22"/>
        <v/>
      </c>
      <c r="AK39" s="407" t="str">
        <f t="shared" si="23"/>
        <v/>
      </c>
      <c r="AL39" s="408" t="str">
        <f t="shared" si="24"/>
        <v/>
      </c>
      <c r="AM39" s="404" t="str">
        <f t="shared" si="25"/>
        <v/>
      </c>
      <c r="AN39" s="38"/>
    </row>
    <row r="40" spans="1:40" s="163" customFormat="1" ht="15" x14ac:dyDescent="0.2">
      <c r="A40" s="36"/>
      <c r="B40" s="82"/>
      <c r="C40" s="394"/>
      <c r="D40" s="395"/>
      <c r="E40" s="396"/>
      <c r="F40" s="396"/>
      <c r="G40" s="396"/>
      <c r="H40" s="396"/>
      <c r="I40" s="396"/>
      <c r="J40" s="397"/>
      <c r="K40" s="396"/>
      <c r="L40" s="398"/>
      <c r="M40" s="82"/>
      <c r="N40" s="403" t="str">
        <f t="shared" si="0"/>
        <v/>
      </c>
      <c r="O40" s="404" t="str">
        <f t="shared" si="1"/>
        <v/>
      </c>
      <c r="P40" s="403" t="str">
        <f t="shared" si="2"/>
        <v/>
      </c>
      <c r="Q40" s="405" t="str">
        <f t="shared" si="3"/>
        <v/>
      </c>
      <c r="R40" s="406" t="str">
        <f t="shared" si="4"/>
        <v/>
      </c>
      <c r="S40" s="404" t="str">
        <f t="shared" si="5"/>
        <v/>
      </c>
      <c r="T40" s="403" t="str">
        <f t="shared" si="6"/>
        <v/>
      </c>
      <c r="U40" s="405" t="str">
        <f t="shared" si="7"/>
        <v/>
      </c>
      <c r="V40" s="406" t="str">
        <f t="shared" si="8"/>
        <v/>
      </c>
      <c r="W40" s="404" t="str">
        <f t="shared" si="9"/>
        <v/>
      </c>
      <c r="X40" s="403" t="str">
        <f t="shared" si="10"/>
        <v/>
      </c>
      <c r="Y40" s="405" t="str">
        <f t="shared" si="11"/>
        <v/>
      </c>
      <c r="Z40" s="406" t="str">
        <f t="shared" si="12"/>
        <v/>
      </c>
      <c r="AA40" s="404" t="str">
        <f t="shared" si="13"/>
        <v/>
      </c>
      <c r="AB40" s="403" t="str">
        <f t="shared" si="14"/>
        <v/>
      </c>
      <c r="AC40" s="405" t="str">
        <f t="shared" si="15"/>
        <v/>
      </c>
      <c r="AD40" s="406" t="str">
        <f t="shared" si="16"/>
        <v/>
      </c>
      <c r="AE40" s="404" t="str">
        <f t="shared" si="17"/>
        <v/>
      </c>
      <c r="AF40" s="403" t="str">
        <f t="shared" si="18"/>
        <v/>
      </c>
      <c r="AG40" s="405" t="str">
        <f t="shared" si="19"/>
        <v/>
      </c>
      <c r="AH40" s="406" t="str">
        <f t="shared" si="20"/>
        <v/>
      </c>
      <c r="AI40" s="404" t="str">
        <f t="shared" si="21"/>
        <v/>
      </c>
      <c r="AJ40" s="403" t="str">
        <f t="shared" si="22"/>
        <v/>
      </c>
      <c r="AK40" s="407" t="str">
        <f t="shared" si="23"/>
        <v/>
      </c>
      <c r="AL40" s="408" t="str">
        <f t="shared" si="24"/>
        <v/>
      </c>
      <c r="AM40" s="404" t="str">
        <f t="shared" si="25"/>
        <v/>
      </c>
      <c r="AN40" s="38"/>
    </row>
    <row r="41" spans="1:40" s="163" customFormat="1" ht="15" x14ac:dyDescent="0.2">
      <c r="A41" s="36"/>
      <c r="B41" s="82"/>
      <c r="C41" s="394"/>
      <c r="D41" s="395"/>
      <c r="E41" s="396"/>
      <c r="F41" s="396"/>
      <c r="G41" s="396"/>
      <c r="H41" s="396"/>
      <c r="I41" s="396"/>
      <c r="J41" s="397"/>
      <c r="K41" s="396"/>
      <c r="L41" s="398"/>
      <c r="M41" s="82"/>
      <c r="N41" s="403" t="str">
        <f t="shared" si="0"/>
        <v/>
      </c>
      <c r="O41" s="404" t="str">
        <f t="shared" si="1"/>
        <v/>
      </c>
      <c r="P41" s="403" t="str">
        <f t="shared" si="2"/>
        <v/>
      </c>
      <c r="Q41" s="405" t="str">
        <f t="shared" si="3"/>
        <v/>
      </c>
      <c r="R41" s="406" t="str">
        <f t="shared" si="4"/>
        <v/>
      </c>
      <c r="S41" s="404" t="str">
        <f t="shared" si="5"/>
        <v/>
      </c>
      <c r="T41" s="403" t="str">
        <f t="shared" si="6"/>
        <v/>
      </c>
      <c r="U41" s="405" t="str">
        <f t="shared" si="7"/>
        <v/>
      </c>
      <c r="V41" s="406" t="str">
        <f t="shared" si="8"/>
        <v/>
      </c>
      <c r="W41" s="404" t="str">
        <f t="shared" si="9"/>
        <v/>
      </c>
      <c r="X41" s="403" t="str">
        <f t="shared" si="10"/>
        <v/>
      </c>
      <c r="Y41" s="405" t="str">
        <f t="shared" si="11"/>
        <v/>
      </c>
      <c r="Z41" s="406" t="str">
        <f t="shared" si="12"/>
        <v/>
      </c>
      <c r="AA41" s="404" t="str">
        <f t="shared" si="13"/>
        <v/>
      </c>
      <c r="AB41" s="403" t="str">
        <f t="shared" si="14"/>
        <v/>
      </c>
      <c r="AC41" s="405" t="str">
        <f t="shared" si="15"/>
        <v/>
      </c>
      <c r="AD41" s="406" t="str">
        <f t="shared" si="16"/>
        <v/>
      </c>
      <c r="AE41" s="404" t="str">
        <f t="shared" si="17"/>
        <v/>
      </c>
      <c r="AF41" s="403" t="str">
        <f t="shared" si="18"/>
        <v/>
      </c>
      <c r="AG41" s="405" t="str">
        <f t="shared" si="19"/>
        <v/>
      </c>
      <c r="AH41" s="406" t="str">
        <f t="shared" si="20"/>
        <v/>
      </c>
      <c r="AI41" s="404" t="str">
        <f t="shared" si="21"/>
        <v/>
      </c>
      <c r="AJ41" s="403" t="str">
        <f t="shared" si="22"/>
        <v/>
      </c>
      <c r="AK41" s="407" t="str">
        <f t="shared" si="23"/>
        <v/>
      </c>
      <c r="AL41" s="408" t="str">
        <f t="shared" si="24"/>
        <v/>
      </c>
      <c r="AM41" s="404" t="str">
        <f t="shared" si="25"/>
        <v/>
      </c>
      <c r="AN41" s="38"/>
    </row>
    <row r="42" spans="1:40" s="163" customFormat="1" ht="15" x14ac:dyDescent="0.2">
      <c r="A42" s="36"/>
      <c r="B42" s="82"/>
      <c r="C42" s="394"/>
      <c r="D42" s="395"/>
      <c r="E42" s="396"/>
      <c r="F42" s="396"/>
      <c r="G42" s="396"/>
      <c r="H42" s="396"/>
      <c r="I42" s="396"/>
      <c r="J42" s="397"/>
      <c r="K42" s="396"/>
      <c r="L42" s="398"/>
      <c r="M42" s="82"/>
      <c r="N42" s="403" t="str">
        <f t="shared" si="0"/>
        <v/>
      </c>
      <c r="O42" s="404" t="str">
        <f t="shared" si="1"/>
        <v/>
      </c>
      <c r="P42" s="403" t="str">
        <f t="shared" si="2"/>
        <v/>
      </c>
      <c r="Q42" s="405" t="str">
        <f t="shared" si="3"/>
        <v/>
      </c>
      <c r="R42" s="406" t="str">
        <f t="shared" si="4"/>
        <v/>
      </c>
      <c r="S42" s="404" t="str">
        <f t="shared" si="5"/>
        <v/>
      </c>
      <c r="T42" s="403" t="str">
        <f t="shared" si="6"/>
        <v/>
      </c>
      <c r="U42" s="405" t="str">
        <f t="shared" si="7"/>
        <v/>
      </c>
      <c r="V42" s="406" t="str">
        <f t="shared" si="8"/>
        <v/>
      </c>
      <c r="W42" s="404" t="str">
        <f t="shared" si="9"/>
        <v/>
      </c>
      <c r="X42" s="403" t="str">
        <f t="shared" si="10"/>
        <v/>
      </c>
      <c r="Y42" s="405" t="str">
        <f t="shared" si="11"/>
        <v/>
      </c>
      <c r="Z42" s="406" t="str">
        <f t="shared" si="12"/>
        <v/>
      </c>
      <c r="AA42" s="404" t="str">
        <f t="shared" si="13"/>
        <v/>
      </c>
      <c r="AB42" s="403" t="str">
        <f t="shared" si="14"/>
        <v/>
      </c>
      <c r="AC42" s="405" t="str">
        <f t="shared" si="15"/>
        <v/>
      </c>
      <c r="AD42" s="406" t="str">
        <f t="shared" si="16"/>
        <v/>
      </c>
      <c r="AE42" s="404" t="str">
        <f t="shared" si="17"/>
        <v/>
      </c>
      <c r="AF42" s="403" t="str">
        <f t="shared" si="18"/>
        <v/>
      </c>
      <c r="AG42" s="405" t="str">
        <f t="shared" si="19"/>
        <v/>
      </c>
      <c r="AH42" s="406" t="str">
        <f t="shared" si="20"/>
        <v/>
      </c>
      <c r="AI42" s="404" t="str">
        <f t="shared" si="21"/>
        <v/>
      </c>
      <c r="AJ42" s="403" t="str">
        <f t="shared" si="22"/>
        <v/>
      </c>
      <c r="AK42" s="407" t="str">
        <f t="shared" si="23"/>
        <v/>
      </c>
      <c r="AL42" s="408" t="str">
        <f t="shared" si="24"/>
        <v/>
      </c>
      <c r="AM42" s="404" t="str">
        <f t="shared" si="25"/>
        <v/>
      </c>
      <c r="AN42" s="38"/>
    </row>
    <row r="43" spans="1:40" s="163" customFormat="1" ht="15" x14ac:dyDescent="0.2">
      <c r="A43" s="36"/>
      <c r="B43" s="82"/>
      <c r="C43" s="394"/>
      <c r="D43" s="395"/>
      <c r="E43" s="396"/>
      <c r="F43" s="396"/>
      <c r="G43" s="396"/>
      <c r="H43" s="396"/>
      <c r="I43" s="396"/>
      <c r="J43" s="397"/>
      <c r="K43" s="396"/>
      <c r="L43" s="398"/>
      <c r="M43" s="82"/>
      <c r="N43" s="403" t="str">
        <f t="shared" si="0"/>
        <v/>
      </c>
      <c r="O43" s="404" t="str">
        <f t="shared" si="1"/>
        <v/>
      </c>
      <c r="P43" s="403" t="str">
        <f t="shared" si="2"/>
        <v/>
      </c>
      <c r="Q43" s="405" t="str">
        <f t="shared" si="3"/>
        <v/>
      </c>
      <c r="R43" s="406" t="str">
        <f t="shared" si="4"/>
        <v/>
      </c>
      <c r="S43" s="404" t="str">
        <f t="shared" si="5"/>
        <v/>
      </c>
      <c r="T43" s="403" t="str">
        <f t="shared" si="6"/>
        <v/>
      </c>
      <c r="U43" s="405" t="str">
        <f t="shared" si="7"/>
        <v/>
      </c>
      <c r="V43" s="406" t="str">
        <f t="shared" si="8"/>
        <v/>
      </c>
      <c r="W43" s="404" t="str">
        <f t="shared" si="9"/>
        <v/>
      </c>
      <c r="X43" s="403" t="str">
        <f t="shared" si="10"/>
        <v/>
      </c>
      <c r="Y43" s="405" t="str">
        <f t="shared" si="11"/>
        <v/>
      </c>
      <c r="Z43" s="406" t="str">
        <f t="shared" si="12"/>
        <v/>
      </c>
      <c r="AA43" s="404" t="str">
        <f t="shared" si="13"/>
        <v/>
      </c>
      <c r="AB43" s="403" t="str">
        <f t="shared" si="14"/>
        <v/>
      </c>
      <c r="AC43" s="405" t="str">
        <f t="shared" si="15"/>
        <v/>
      </c>
      <c r="AD43" s="406" t="str">
        <f t="shared" si="16"/>
        <v/>
      </c>
      <c r="AE43" s="404" t="str">
        <f t="shared" si="17"/>
        <v/>
      </c>
      <c r="AF43" s="403" t="str">
        <f t="shared" si="18"/>
        <v/>
      </c>
      <c r="AG43" s="405" t="str">
        <f t="shared" si="19"/>
        <v/>
      </c>
      <c r="AH43" s="406" t="str">
        <f t="shared" si="20"/>
        <v/>
      </c>
      <c r="AI43" s="404" t="str">
        <f t="shared" si="21"/>
        <v/>
      </c>
      <c r="AJ43" s="403" t="str">
        <f t="shared" si="22"/>
        <v/>
      </c>
      <c r="AK43" s="407" t="str">
        <f t="shared" si="23"/>
        <v/>
      </c>
      <c r="AL43" s="408" t="str">
        <f t="shared" si="24"/>
        <v/>
      </c>
      <c r="AM43" s="404" t="str">
        <f t="shared" si="25"/>
        <v/>
      </c>
      <c r="AN43" s="38"/>
    </row>
    <row r="44" spans="1:40" s="163" customFormat="1" ht="15" x14ac:dyDescent="0.2">
      <c r="A44" s="36"/>
      <c r="B44" s="82"/>
      <c r="C44" s="394"/>
      <c r="D44" s="395"/>
      <c r="E44" s="396"/>
      <c r="F44" s="396"/>
      <c r="G44" s="396"/>
      <c r="H44" s="396"/>
      <c r="I44" s="396"/>
      <c r="J44" s="397"/>
      <c r="K44" s="396"/>
      <c r="L44" s="398"/>
      <c r="M44" s="82"/>
      <c r="N44" s="403" t="str">
        <f t="shared" si="0"/>
        <v/>
      </c>
      <c r="O44" s="404" t="str">
        <f t="shared" si="1"/>
        <v/>
      </c>
      <c r="P44" s="403" t="str">
        <f t="shared" si="2"/>
        <v/>
      </c>
      <c r="Q44" s="405" t="str">
        <f t="shared" si="3"/>
        <v/>
      </c>
      <c r="R44" s="406" t="str">
        <f t="shared" si="4"/>
        <v/>
      </c>
      <c r="S44" s="404" t="str">
        <f t="shared" si="5"/>
        <v/>
      </c>
      <c r="T44" s="403" t="str">
        <f t="shared" si="6"/>
        <v/>
      </c>
      <c r="U44" s="405" t="str">
        <f t="shared" si="7"/>
        <v/>
      </c>
      <c r="V44" s="406" t="str">
        <f t="shared" si="8"/>
        <v/>
      </c>
      <c r="W44" s="404" t="str">
        <f t="shared" si="9"/>
        <v/>
      </c>
      <c r="X44" s="403" t="str">
        <f t="shared" si="10"/>
        <v/>
      </c>
      <c r="Y44" s="405" t="str">
        <f t="shared" si="11"/>
        <v/>
      </c>
      <c r="Z44" s="406" t="str">
        <f t="shared" si="12"/>
        <v/>
      </c>
      <c r="AA44" s="404" t="str">
        <f t="shared" si="13"/>
        <v/>
      </c>
      <c r="AB44" s="403" t="str">
        <f t="shared" si="14"/>
        <v/>
      </c>
      <c r="AC44" s="405" t="str">
        <f t="shared" si="15"/>
        <v/>
      </c>
      <c r="AD44" s="406" t="str">
        <f t="shared" si="16"/>
        <v/>
      </c>
      <c r="AE44" s="404" t="str">
        <f t="shared" si="17"/>
        <v/>
      </c>
      <c r="AF44" s="403" t="str">
        <f t="shared" si="18"/>
        <v/>
      </c>
      <c r="AG44" s="405" t="str">
        <f t="shared" si="19"/>
        <v/>
      </c>
      <c r="AH44" s="406" t="str">
        <f t="shared" si="20"/>
        <v/>
      </c>
      <c r="AI44" s="404" t="str">
        <f t="shared" si="21"/>
        <v/>
      </c>
      <c r="AJ44" s="403" t="str">
        <f t="shared" si="22"/>
        <v/>
      </c>
      <c r="AK44" s="407" t="str">
        <f t="shared" si="23"/>
        <v/>
      </c>
      <c r="AL44" s="408" t="str">
        <f t="shared" si="24"/>
        <v/>
      </c>
      <c r="AM44" s="404" t="str">
        <f t="shared" si="25"/>
        <v/>
      </c>
      <c r="AN44" s="38"/>
    </row>
    <row r="45" spans="1:40" s="163" customFormat="1" ht="15" x14ac:dyDescent="0.2">
      <c r="A45" s="36"/>
      <c r="B45" s="82"/>
      <c r="C45" s="394"/>
      <c r="D45" s="395"/>
      <c r="E45" s="396"/>
      <c r="F45" s="396"/>
      <c r="G45" s="396"/>
      <c r="H45" s="396"/>
      <c r="I45" s="396"/>
      <c r="J45" s="397"/>
      <c r="K45" s="396"/>
      <c r="L45" s="398"/>
      <c r="M45" s="82"/>
      <c r="N45" s="403" t="str">
        <f t="shared" si="0"/>
        <v/>
      </c>
      <c r="O45" s="404" t="str">
        <f t="shared" si="1"/>
        <v/>
      </c>
      <c r="P45" s="403" t="str">
        <f t="shared" si="2"/>
        <v/>
      </c>
      <c r="Q45" s="405" t="str">
        <f t="shared" si="3"/>
        <v/>
      </c>
      <c r="R45" s="406" t="str">
        <f t="shared" si="4"/>
        <v/>
      </c>
      <c r="S45" s="404" t="str">
        <f t="shared" si="5"/>
        <v/>
      </c>
      <c r="T45" s="403" t="str">
        <f t="shared" si="6"/>
        <v/>
      </c>
      <c r="U45" s="405" t="str">
        <f t="shared" si="7"/>
        <v/>
      </c>
      <c r="V45" s="406" t="str">
        <f t="shared" si="8"/>
        <v/>
      </c>
      <c r="W45" s="404" t="str">
        <f t="shared" si="9"/>
        <v/>
      </c>
      <c r="X45" s="403" t="str">
        <f t="shared" si="10"/>
        <v/>
      </c>
      <c r="Y45" s="405" t="str">
        <f t="shared" si="11"/>
        <v/>
      </c>
      <c r="Z45" s="406" t="str">
        <f t="shared" si="12"/>
        <v/>
      </c>
      <c r="AA45" s="404" t="str">
        <f t="shared" si="13"/>
        <v/>
      </c>
      <c r="AB45" s="403" t="str">
        <f t="shared" si="14"/>
        <v/>
      </c>
      <c r="AC45" s="405" t="str">
        <f t="shared" si="15"/>
        <v/>
      </c>
      <c r="AD45" s="406" t="str">
        <f t="shared" si="16"/>
        <v/>
      </c>
      <c r="AE45" s="404" t="str">
        <f t="shared" si="17"/>
        <v/>
      </c>
      <c r="AF45" s="403" t="str">
        <f t="shared" si="18"/>
        <v/>
      </c>
      <c r="AG45" s="405" t="str">
        <f t="shared" si="19"/>
        <v/>
      </c>
      <c r="AH45" s="406" t="str">
        <f t="shared" si="20"/>
        <v/>
      </c>
      <c r="AI45" s="404" t="str">
        <f t="shared" si="21"/>
        <v/>
      </c>
      <c r="AJ45" s="403" t="str">
        <f t="shared" si="22"/>
        <v/>
      </c>
      <c r="AK45" s="407" t="str">
        <f t="shared" si="23"/>
        <v/>
      </c>
      <c r="AL45" s="408" t="str">
        <f t="shared" si="24"/>
        <v/>
      </c>
      <c r="AM45" s="404" t="str">
        <f t="shared" si="25"/>
        <v/>
      </c>
      <c r="AN45" s="38"/>
    </row>
    <row r="46" spans="1:40" s="163" customFormat="1" ht="15" x14ac:dyDescent="0.2">
      <c r="A46" s="36"/>
      <c r="B46" s="82"/>
      <c r="C46" s="394"/>
      <c r="D46" s="395"/>
      <c r="E46" s="396"/>
      <c r="F46" s="396"/>
      <c r="G46" s="396"/>
      <c r="H46" s="396"/>
      <c r="I46" s="396"/>
      <c r="J46" s="397"/>
      <c r="K46" s="396"/>
      <c r="L46" s="398"/>
      <c r="M46" s="82"/>
      <c r="N46" s="403" t="str">
        <f t="shared" si="0"/>
        <v/>
      </c>
      <c r="O46" s="404" t="str">
        <f t="shared" si="1"/>
        <v/>
      </c>
      <c r="P46" s="403" t="str">
        <f t="shared" si="2"/>
        <v/>
      </c>
      <c r="Q46" s="405" t="str">
        <f t="shared" si="3"/>
        <v/>
      </c>
      <c r="R46" s="406" t="str">
        <f t="shared" si="4"/>
        <v/>
      </c>
      <c r="S46" s="404" t="str">
        <f t="shared" si="5"/>
        <v/>
      </c>
      <c r="T46" s="403" t="str">
        <f t="shared" si="6"/>
        <v/>
      </c>
      <c r="U46" s="405" t="str">
        <f t="shared" si="7"/>
        <v/>
      </c>
      <c r="V46" s="406" t="str">
        <f t="shared" si="8"/>
        <v/>
      </c>
      <c r="W46" s="404" t="str">
        <f t="shared" si="9"/>
        <v/>
      </c>
      <c r="X46" s="403" t="str">
        <f t="shared" si="10"/>
        <v/>
      </c>
      <c r="Y46" s="405" t="str">
        <f t="shared" si="11"/>
        <v/>
      </c>
      <c r="Z46" s="406" t="str">
        <f t="shared" si="12"/>
        <v/>
      </c>
      <c r="AA46" s="404" t="str">
        <f t="shared" si="13"/>
        <v/>
      </c>
      <c r="AB46" s="403" t="str">
        <f t="shared" si="14"/>
        <v/>
      </c>
      <c r="AC46" s="405" t="str">
        <f t="shared" si="15"/>
        <v/>
      </c>
      <c r="AD46" s="406" t="str">
        <f t="shared" si="16"/>
        <v/>
      </c>
      <c r="AE46" s="404" t="str">
        <f t="shared" si="17"/>
        <v/>
      </c>
      <c r="AF46" s="403" t="str">
        <f t="shared" si="18"/>
        <v/>
      </c>
      <c r="AG46" s="405" t="str">
        <f t="shared" si="19"/>
        <v/>
      </c>
      <c r="AH46" s="406" t="str">
        <f t="shared" si="20"/>
        <v/>
      </c>
      <c r="AI46" s="404" t="str">
        <f t="shared" si="21"/>
        <v/>
      </c>
      <c r="AJ46" s="403" t="str">
        <f t="shared" si="22"/>
        <v/>
      </c>
      <c r="AK46" s="407" t="str">
        <f t="shared" si="23"/>
        <v/>
      </c>
      <c r="AL46" s="408" t="str">
        <f t="shared" si="24"/>
        <v/>
      </c>
      <c r="AM46" s="404" t="str">
        <f t="shared" si="25"/>
        <v/>
      </c>
      <c r="AN46" s="38"/>
    </row>
    <row r="47" spans="1:40" s="163" customFormat="1" ht="15" x14ac:dyDescent="0.2">
      <c r="A47" s="36"/>
      <c r="B47" s="82"/>
      <c r="C47" s="394"/>
      <c r="D47" s="395"/>
      <c r="E47" s="396"/>
      <c r="F47" s="396"/>
      <c r="G47" s="396"/>
      <c r="H47" s="396"/>
      <c r="I47" s="396"/>
      <c r="J47" s="397"/>
      <c r="K47" s="396"/>
      <c r="L47" s="398"/>
      <c r="M47" s="82"/>
      <c r="N47" s="403" t="str">
        <f t="shared" si="0"/>
        <v/>
      </c>
      <c r="O47" s="404" t="str">
        <f t="shared" si="1"/>
        <v/>
      </c>
      <c r="P47" s="403" t="str">
        <f t="shared" si="2"/>
        <v/>
      </c>
      <c r="Q47" s="405" t="str">
        <f t="shared" si="3"/>
        <v/>
      </c>
      <c r="R47" s="406" t="str">
        <f t="shared" si="4"/>
        <v/>
      </c>
      <c r="S47" s="404" t="str">
        <f t="shared" si="5"/>
        <v/>
      </c>
      <c r="T47" s="403" t="str">
        <f t="shared" si="6"/>
        <v/>
      </c>
      <c r="U47" s="405" t="str">
        <f t="shared" si="7"/>
        <v/>
      </c>
      <c r="V47" s="406" t="str">
        <f t="shared" si="8"/>
        <v/>
      </c>
      <c r="W47" s="404" t="str">
        <f t="shared" si="9"/>
        <v/>
      </c>
      <c r="X47" s="403" t="str">
        <f t="shared" si="10"/>
        <v/>
      </c>
      <c r="Y47" s="405" t="str">
        <f t="shared" si="11"/>
        <v/>
      </c>
      <c r="Z47" s="406" t="str">
        <f t="shared" si="12"/>
        <v/>
      </c>
      <c r="AA47" s="404" t="str">
        <f t="shared" si="13"/>
        <v/>
      </c>
      <c r="AB47" s="403" t="str">
        <f t="shared" si="14"/>
        <v/>
      </c>
      <c r="AC47" s="405" t="str">
        <f t="shared" si="15"/>
        <v/>
      </c>
      <c r="AD47" s="406" t="str">
        <f t="shared" si="16"/>
        <v/>
      </c>
      <c r="AE47" s="404" t="str">
        <f t="shared" si="17"/>
        <v/>
      </c>
      <c r="AF47" s="403" t="str">
        <f t="shared" si="18"/>
        <v/>
      </c>
      <c r="AG47" s="405" t="str">
        <f t="shared" si="19"/>
        <v/>
      </c>
      <c r="AH47" s="406" t="str">
        <f t="shared" si="20"/>
        <v/>
      </c>
      <c r="AI47" s="404" t="str">
        <f t="shared" si="21"/>
        <v/>
      </c>
      <c r="AJ47" s="403" t="str">
        <f t="shared" si="22"/>
        <v/>
      </c>
      <c r="AK47" s="407" t="str">
        <f t="shared" si="23"/>
        <v/>
      </c>
      <c r="AL47" s="408" t="str">
        <f t="shared" si="24"/>
        <v/>
      </c>
      <c r="AM47" s="404" t="str">
        <f t="shared" si="25"/>
        <v/>
      </c>
      <c r="AN47" s="38"/>
    </row>
    <row r="48" spans="1:40" s="163" customFormat="1" ht="15" x14ac:dyDescent="0.2">
      <c r="A48" s="36"/>
      <c r="B48" s="82"/>
      <c r="C48" s="394"/>
      <c r="D48" s="395"/>
      <c r="E48" s="396"/>
      <c r="F48" s="396"/>
      <c r="G48" s="396"/>
      <c r="H48" s="396"/>
      <c r="I48" s="396"/>
      <c r="J48" s="397"/>
      <c r="K48" s="396"/>
      <c r="L48" s="398"/>
      <c r="M48" s="82"/>
      <c r="N48" s="403" t="str">
        <f t="shared" si="0"/>
        <v/>
      </c>
      <c r="O48" s="404" t="str">
        <f t="shared" si="1"/>
        <v/>
      </c>
      <c r="P48" s="403" t="str">
        <f t="shared" si="2"/>
        <v/>
      </c>
      <c r="Q48" s="405" t="str">
        <f t="shared" si="3"/>
        <v/>
      </c>
      <c r="R48" s="406" t="str">
        <f t="shared" si="4"/>
        <v/>
      </c>
      <c r="S48" s="404" t="str">
        <f t="shared" si="5"/>
        <v/>
      </c>
      <c r="T48" s="403" t="str">
        <f t="shared" si="6"/>
        <v/>
      </c>
      <c r="U48" s="405" t="str">
        <f t="shared" si="7"/>
        <v/>
      </c>
      <c r="V48" s="406" t="str">
        <f t="shared" si="8"/>
        <v/>
      </c>
      <c r="W48" s="404" t="str">
        <f t="shared" si="9"/>
        <v/>
      </c>
      <c r="X48" s="403" t="str">
        <f t="shared" si="10"/>
        <v/>
      </c>
      <c r="Y48" s="405" t="str">
        <f t="shared" si="11"/>
        <v/>
      </c>
      <c r="Z48" s="406" t="str">
        <f t="shared" si="12"/>
        <v/>
      </c>
      <c r="AA48" s="404" t="str">
        <f t="shared" si="13"/>
        <v/>
      </c>
      <c r="AB48" s="403" t="str">
        <f t="shared" si="14"/>
        <v/>
      </c>
      <c r="AC48" s="405" t="str">
        <f t="shared" si="15"/>
        <v/>
      </c>
      <c r="AD48" s="406" t="str">
        <f t="shared" si="16"/>
        <v/>
      </c>
      <c r="AE48" s="404" t="str">
        <f t="shared" si="17"/>
        <v/>
      </c>
      <c r="AF48" s="403" t="str">
        <f t="shared" si="18"/>
        <v/>
      </c>
      <c r="AG48" s="405" t="str">
        <f t="shared" si="19"/>
        <v/>
      </c>
      <c r="AH48" s="406" t="str">
        <f t="shared" si="20"/>
        <v/>
      </c>
      <c r="AI48" s="404" t="str">
        <f t="shared" si="21"/>
        <v/>
      </c>
      <c r="AJ48" s="403" t="str">
        <f t="shared" si="22"/>
        <v/>
      </c>
      <c r="AK48" s="407" t="str">
        <f t="shared" si="23"/>
        <v/>
      </c>
      <c r="AL48" s="408" t="str">
        <f t="shared" si="24"/>
        <v/>
      </c>
      <c r="AM48" s="404" t="str">
        <f t="shared" si="25"/>
        <v/>
      </c>
      <c r="AN48" s="38"/>
    </row>
    <row r="49" spans="1:40" s="163" customFormat="1" ht="15" x14ac:dyDescent="0.2">
      <c r="A49" s="36"/>
      <c r="B49" s="82"/>
      <c r="C49" s="394"/>
      <c r="D49" s="395"/>
      <c r="E49" s="396"/>
      <c r="F49" s="396"/>
      <c r="G49" s="396"/>
      <c r="H49" s="396"/>
      <c r="I49" s="396"/>
      <c r="J49" s="397"/>
      <c r="K49" s="396"/>
      <c r="L49" s="398"/>
      <c r="M49" s="82"/>
      <c r="N49" s="403" t="str">
        <f t="shared" si="0"/>
        <v/>
      </c>
      <c r="O49" s="404" t="str">
        <f t="shared" si="1"/>
        <v/>
      </c>
      <c r="P49" s="403" t="str">
        <f t="shared" si="2"/>
        <v/>
      </c>
      <c r="Q49" s="405" t="str">
        <f t="shared" si="3"/>
        <v/>
      </c>
      <c r="R49" s="406" t="str">
        <f t="shared" si="4"/>
        <v/>
      </c>
      <c r="S49" s="404" t="str">
        <f t="shared" si="5"/>
        <v/>
      </c>
      <c r="T49" s="403" t="str">
        <f t="shared" si="6"/>
        <v/>
      </c>
      <c r="U49" s="405" t="str">
        <f t="shared" si="7"/>
        <v/>
      </c>
      <c r="V49" s="406" t="str">
        <f t="shared" si="8"/>
        <v/>
      </c>
      <c r="W49" s="404" t="str">
        <f t="shared" si="9"/>
        <v/>
      </c>
      <c r="X49" s="403" t="str">
        <f t="shared" si="10"/>
        <v/>
      </c>
      <c r="Y49" s="405" t="str">
        <f t="shared" si="11"/>
        <v/>
      </c>
      <c r="Z49" s="406" t="str">
        <f t="shared" si="12"/>
        <v/>
      </c>
      <c r="AA49" s="404" t="str">
        <f t="shared" si="13"/>
        <v/>
      </c>
      <c r="AB49" s="403" t="str">
        <f t="shared" si="14"/>
        <v/>
      </c>
      <c r="AC49" s="405" t="str">
        <f t="shared" si="15"/>
        <v/>
      </c>
      <c r="AD49" s="406" t="str">
        <f t="shared" si="16"/>
        <v/>
      </c>
      <c r="AE49" s="404" t="str">
        <f t="shared" si="17"/>
        <v/>
      </c>
      <c r="AF49" s="403" t="str">
        <f t="shared" si="18"/>
        <v/>
      </c>
      <c r="AG49" s="405" t="str">
        <f t="shared" si="19"/>
        <v/>
      </c>
      <c r="AH49" s="406" t="str">
        <f t="shared" si="20"/>
        <v/>
      </c>
      <c r="AI49" s="404" t="str">
        <f t="shared" si="21"/>
        <v/>
      </c>
      <c r="AJ49" s="403" t="str">
        <f t="shared" si="22"/>
        <v/>
      </c>
      <c r="AK49" s="407" t="str">
        <f t="shared" si="23"/>
        <v/>
      </c>
      <c r="AL49" s="408" t="str">
        <f t="shared" si="24"/>
        <v/>
      </c>
      <c r="AM49" s="404" t="str">
        <f t="shared" si="25"/>
        <v/>
      </c>
      <c r="AN49" s="38"/>
    </row>
    <row r="50" spans="1:40" s="163" customFormat="1" ht="15" x14ac:dyDescent="0.2">
      <c r="A50" s="36"/>
      <c r="B50" s="82"/>
      <c r="C50" s="394"/>
      <c r="D50" s="395"/>
      <c r="E50" s="396"/>
      <c r="F50" s="396"/>
      <c r="G50" s="396"/>
      <c r="H50" s="396"/>
      <c r="I50" s="396"/>
      <c r="J50" s="397"/>
      <c r="K50" s="396"/>
      <c r="L50" s="398"/>
      <c r="M50" s="82"/>
      <c r="N50" s="403" t="str">
        <f t="shared" si="0"/>
        <v/>
      </c>
      <c r="O50" s="404" t="str">
        <f t="shared" si="1"/>
        <v/>
      </c>
      <c r="P50" s="403" t="str">
        <f t="shared" si="2"/>
        <v/>
      </c>
      <c r="Q50" s="405" t="str">
        <f t="shared" si="3"/>
        <v/>
      </c>
      <c r="R50" s="406" t="str">
        <f t="shared" si="4"/>
        <v/>
      </c>
      <c r="S50" s="404" t="str">
        <f t="shared" si="5"/>
        <v/>
      </c>
      <c r="T50" s="403" t="str">
        <f t="shared" si="6"/>
        <v/>
      </c>
      <c r="U50" s="405" t="str">
        <f t="shared" si="7"/>
        <v/>
      </c>
      <c r="V50" s="406" t="str">
        <f t="shared" si="8"/>
        <v/>
      </c>
      <c r="W50" s="404" t="str">
        <f t="shared" si="9"/>
        <v/>
      </c>
      <c r="X50" s="403" t="str">
        <f t="shared" si="10"/>
        <v/>
      </c>
      <c r="Y50" s="405" t="str">
        <f t="shared" si="11"/>
        <v/>
      </c>
      <c r="Z50" s="406" t="str">
        <f t="shared" si="12"/>
        <v/>
      </c>
      <c r="AA50" s="404" t="str">
        <f t="shared" si="13"/>
        <v/>
      </c>
      <c r="AB50" s="403" t="str">
        <f t="shared" si="14"/>
        <v/>
      </c>
      <c r="AC50" s="405" t="str">
        <f t="shared" si="15"/>
        <v/>
      </c>
      <c r="AD50" s="406" t="str">
        <f t="shared" si="16"/>
        <v/>
      </c>
      <c r="AE50" s="404" t="str">
        <f t="shared" si="17"/>
        <v/>
      </c>
      <c r="AF50" s="403" t="str">
        <f t="shared" si="18"/>
        <v/>
      </c>
      <c r="AG50" s="405" t="str">
        <f t="shared" si="19"/>
        <v/>
      </c>
      <c r="AH50" s="406" t="str">
        <f t="shared" si="20"/>
        <v/>
      </c>
      <c r="AI50" s="404" t="str">
        <f t="shared" si="21"/>
        <v/>
      </c>
      <c r="AJ50" s="403" t="str">
        <f t="shared" si="22"/>
        <v/>
      </c>
      <c r="AK50" s="407" t="str">
        <f t="shared" si="23"/>
        <v/>
      </c>
      <c r="AL50" s="408" t="str">
        <f t="shared" si="24"/>
        <v/>
      </c>
      <c r="AM50" s="404" t="str">
        <f t="shared" si="25"/>
        <v/>
      </c>
      <c r="AN50" s="38"/>
    </row>
    <row r="51" spans="1:40" s="163" customFormat="1" ht="15.75" thickBot="1" x14ac:dyDescent="0.25">
      <c r="A51" s="36"/>
      <c r="B51" s="82"/>
      <c r="C51" s="676"/>
      <c r="D51" s="399"/>
      <c r="E51" s="400"/>
      <c r="F51" s="400"/>
      <c r="G51" s="400"/>
      <c r="H51" s="400"/>
      <c r="I51" s="400"/>
      <c r="J51" s="401"/>
      <c r="K51" s="400"/>
      <c r="L51" s="402"/>
      <c r="M51" s="695"/>
      <c r="N51" s="696" t="str">
        <f t="shared" si="0"/>
        <v/>
      </c>
      <c r="O51" s="697" t="str">
        <f t="shared" si="1"/>
        <v/>
      </c>
      <c r="P51" s="696" t="str">
        <f t="shared" si="2"/>
        <v/>
      </c>
      <c r="Q51" s="699" t="str">
        <f t="shared" si="3"/>
        <v/>
      </c>
      <c r="R51" s="698" t="str">
        <f t="shared" si="4"/>
        <v/>
      </c>
      <c r="S51" s="697" t="str">
        <f t="shared" si="5"/>
        <v/>
      </c>
      <c r="T51" s="696" t="str">
        <f t="shared" si="6"/>
        <v/>
      </c>
      <c r="U51" s="699" t="str">
        <f t="shared" si="7"/>
        <v/>
      </c>
      <c r="V51" s="698" t="str">
        <f t="shared" si="8"/>
        <v/>
      </c>
      <c r="W51" s="697" t="str">
        <f t="shared" si="9"/>
        <v/>
      </c>
      <c r="X51" s="696" t="str">
        <f t="shared" si="10"/>
        <v/>
      </c>
      <c r="Y51" s="699" t="str">
        <f t="shared" si="11"/>
        <v/>
      </c>
      <c r="Z51" s="698" t="str">
        <f t="shared" si="12"/>
        <v/>
      </c>
      <c r="AA51" s="697" t="str">
        <f t="shared" si="13"/>
        <v/>
      </c>
      <c r="AB51" s="696" t="str">
        <f t="shared" si="14"/>
        <v/>
      </c>
      <c r="AC51" s="699" t="str">
        <f t="shared" si="15"/>
        <v/>
      </c>
      <c r="AD51" s="698" t="str">
        <f t="shared" si="16"/>
        <v/>
      </c>
      <c r="AE51" s="697" t="str">
        <f t="shared" si="17"/>
        <v/>
      </c>
      <c r="AF51" s="696" t="str">
        <f t="shared" si="18"/>
        <v/>
      </c>
      <c r="AG51" s="699" t="str">
        <f t="shared" si="19"/>
        <v/>
      </c>
      <c r="AH51" s="698" t="str">
        <f t="shared" si="20"/>
        <v/>
      </c>
      <c r="AI51" s="697" t="str">
        <f t="shared" si="21"/>
        <v/>
      </c>
      <c r="AJ51" s="409" t="str">
        <f>IF(L51=0,"",IF(K51=0,"",L51-K51))</f>
        <v/>
      </c>
      <c r="AK51" s="699" t="str">
        <f t="shared" si="23"/>
        <v/>
      </c>
      <c r="AL51" s="698" t="str">
        <f t="shared" si="24"/>
        <v/>
      </c>
      <c r="AM51" s="697" t="str">
        <f t="shared" si="25"/>
        <v/>
      </c>
      <c r="AN51" s="38"/>
    </row>
    <row r="52" spans="1:40" ht="12" customHeight="1" x14ac:dyDescent="0.25">
      <c r="A52" s="26"/>
      <c r="B52" s="38"/>
      <c r="C52" s="38"/>
      <c r="D52" s="123"/>
      <c r="E52" s="82"/>
      <c r="F52" s="38"/>
      <c r="G52" s="38"/>
      <c r="H52" s="38"/>
      <c r="I52" s="38"/>
      <c r="J52" s="38"/>
      <c r="K52" s="38"/>
      <c r="L52" s="38"/>
      <c r="M52" s="38"/>
      <c r="N52" s="84"/>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row>
    <row r="53" spans="1:40" ht="15.75" x14ac:dyDescent="0.25">
      <c r="A53" s="26"/>
      <c r="B53" s="38"/>
      <c r="C53" s="84" t="s">
        <v>427</v>
      </c>
      <c r="D53" s="38"/>
      <c r="E53" s="38"/>
      <c r="F53" s="38"/>
      <c r="G53" s="38"/>
      <c r="H53" s="38"/>
      <c r="I53" s="38"/>
      <c r="J53" s="38"/>
      <c r="K53" s="38"/>
      <c r="L53" s="38"/>
      <c r="M53" s="38"/>
      <c r="N53" s="84"/>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1:40" ht="4.5" customHeight="1" thickBot="1" x14ac:dyDescent="0.3">
      <c r="A54" s="26"/>
      <c r="B54" s="38"/>
      <c r="C54" s="84"/>
      <c r="D54" s="38"/>
      <c r="E54" s="38"/>
      <c r="F54" s="38"/>
      <c r="G54" s="38"/>
      <c r="H54" s="38"/>
      <c r="I54" s="38"/>
      <c r="J54" s="38"/>
      <c r="K54" s="38"/>
      <c r="L54" s="38"/>
      <c r="M54" s="38"/>
      <c r="N54" s="277"/>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277"/>
      <c r="AN54" s="38"/>
    </row>
    <row r="55" spans="1:40" ht="17.25" thickTop="1" thickBot="1" x14ac:dyDescent="0.3">
      <c r="A55" s="26"/>
      <c r="B55" s="38"/>
      <c r="C55" s="38"/>
      <c r="D55" s="38"/>
      <c r="E55" s="38"/>
      <c r="F55" s="805" t="s">
        <v>340</v>
      </c>
      <c r="G55" s="806"/>
      <c r="H55" s="806"/>
      <c r="I55" s="806"/>
      <c r="J55" s="806"/>
      <c r="K55" s="806"/>
      <c r="L55" s="807"/>
      <c r="M55" s="38"/>
      <c r="N55" s="810" t="s">
        <v>906</v>
      </c>
      <c r="O55" s="811"/>
      <c r="P55" s="811"/>
      <c r="Q55" s="811"/>
      <c r="R55" s="811"/>
      <c r="S55" s="811"/>
      <c r="T55" s="811"/>
      <c r="U55" s="811"/>
      <c r="V55" s="811"/>
      <c r="W55" s="811"/>
      <c r="X55" s="811"/>
      <c r="Y55" s="811"/>
      <c r="Z55" s="811"/>
      <c r="AA55" s="811"/>
      <c r="AB55" s="811"/>
      <c r="AC55" s="811"/>
      <c r="AD55" s="811"/>
      <c r="AE55" s="811"/>
      <c r="AF55" s="811"/>
      <c r="AG55" s="811"/>
      <c r="AH55" s="811"/>
      <c r="AI55" s="811"/>
      <c r="AJ55" s="811"/>
      <c r="AK55" s="811"/>
      <c r="AL55" s="811"/>
      <c r="AM55" s="812"/>
      <c r="AN55" s="38"/>
    </row>
    <row r="56" spans="1:40" ht="39" customHeight="1" thickTop="1" x14ac:dyDescent="0.2">
      <c r="A56" s="26"/>
      <c r="B56" s="38"/>
      <c r="C56" s="290" t="s">
        <v>317</v>
      </c>
      <c r="D56" s="291" t="s">
        <v>408</v>
      </c>
      <c r="E56" s="292" t="s">
        <v>910</v>
      </c>
      <c r="F56" s="293" t="s">
        <v>911</v>
      </c>
      <c r="G56" s="293" t="s">
        <v>912</v>
      </c>
      <c r="H56" s="293" t="s">
        <v>913</v>
      </c>
      <c r="I56" s="293" t="s">
        <v>914</v>
      </c>
      <c r="J56" s="293" t="s">
        <v>915</v>
      </c>
      <c r="K56" s="293" t="s">
        <v>916</v>
      </c>
      <c r="L56" s="294" t="s">
        <v>917</v>
      </c>
      <c r="M56" s="38"/>
      <c r="N56" s="796" t="s">
        <v>95</v>
      </c>
      <c r="O56" s="798"/>
      <c r="P56" s="796" t="s">
        <v>96</v>
      </c>
      <c r="Q56" s="797"/>
      <c r="R56" s="797"/>
      <c r="S56" s="798"/>
      <c r="T56" s="796" t="s">
        <v>97</v>
      </c>
      <c r="U56" s="797"/>
      <c r="V56" s="797"/>
      <c r="W56" s="798"/>
      <c r="X56" s="796" t="s">
        <v>98</v>
      </c>
      <c r="Y56" s="797"/>
      <c r="Z56" s="797"/>
      <c r="AA56" s="798"/>
      <c r="AB56" s="796" t="s">
        <v>99</v>
      </c>
      <c r="AC56" s="797"/>
      <c r="AD56" s="797"/>
      <c r="AE56" s="798"/>
      <c r="AF56" s="796" t="s">
        <v>100</v>
      </c>
      <c r="AG56" s="797"/>
      <c r="AH56" s="797"/>
      <c r="AI56" s="798"/>
      <c r="AJ56" s="796" t="s">
        <v>101</v>
      </c>
      <c r="AK56" s="797"/>
      <c r="AL56" s="797"/>
      <c r="AM56" s="798"/>
      <c r="AN56" s="38"/>
    </row>
    <row r="57" spans="1:40" ht="12.75" x14ac:dyDescent="0.2">
      <c r="A57" s="26"/>
      <c r="B57" s="38"/>
      <c r="C57" s="295"/>
      <c r="D57" s="296"/>
      <c r="E57" s="578" t="str">
        <f>E21</f>
        <v>2014/15</v>
      </c>
      <c r="F57" s="578" t="str">
        <f t="shared" ref="F57:L57" si="26">F21</f>
        <v>2015/16</v>
      </c>
      <c r="G57" s="160" t="str">
        <f t="shared" si="26"/>
        <v>2016/17</v>
      </c>
      <c r="H57" s="160" t="str">
        <f t="shared" si="26"/>
        <v>2017/18</v>
      </c>
      <c r="I57" s="160" t="str">
        <f t="shared" si="26"/>
        <v>2018/19</v>
      </c>
      <c r="J57" s="160" t="str">
        <f t="shared" si="26"/>
        <v>2019/20</v>
      </c>
      <c r="K57" s="160" t="str">
        <f t="shared" si="26"/>
        <v>2020/21</v>
      </c>
      <c r="L57" s="160" t="str">
        <f t="shared" si="26"/>
        <v>2021/22</v>
      </c>
      <c r="M57" s="38"/>
      <c r="N57" s="251" t="s">
        <v>102</v>
      </c>
      <c r="O57" s="248" t="s">
        <v>125</v>
      </c>
      <c r="P57" s="251" t="s">
        <v>102</v>
      </c>
      <c r="Q57" s="247" t="s">
        <v>125</v>
      </c>
      <c r="R57" s="244" t="s">
        <v>103</v>
      </c>
      <c r="S57" s="248" t="s">
        <v>125</v>
      </c>
      <c r="T57" s="251" t="s">
        <v>102</v>
      </c>
      <c r="U57" s="247" t="s">
        <v>125</v>
      </c>
      <c r="V57" s="244" t="s">
        <v>103</v>
      </c>
      <c r="W57" s="248" t="s">
        <v>125</v>
      </c>
      <c r="X57" s="251" t="s">
        <v>102</v>
      </c>
      <c r="Y57" s="247" t="s">
        <v>125</v>
      </c>
      <c r="Z57" s="244" t="s">
        <v>103</v>
      </c>
      <c r="AA57" s="248" t="s">
        <v>125</v>
      </c>
      <c r="AB57" s="251" t="s">
        <v>102</v>
      </c>
      <c r="AC57" s="247" t="s">
        <v>125</v>
      </c>
      <c r="AD57" s="244" t="s">
        <v>103</v>
      </c>
      <c r="AE57" s="248" t="s">
        <v>125</v>
      </c>
      <c r="AF57" s="251" t="s">
        <v>102</v>
      </c>
      <c r="AG57" s="247" t="s">
        <v>125</v>
      </c>
      <c r="AH57" s="244" t="s">
        <v>103</v>
      </c>
      <c r="AI57" s="248" t="s">
        <v>125</v>
      </c>
      <c r="AJ57" s="251" t="s">
        <v>102</v>
      </c>
      <c r="AK57" s="244" t="s">
        <v>125</v>
      </c>
      <c r="AL57" s="245" t="s">
        <v>103</v>
      </c>
      <c r="AM57" s="248" t="s">
        <v>125</v>
      </c>
      <c r="AN57" s="38"/>
    </row>
    <row r="58" spans="1:40" ht="12.75" x14ac:dyDescent="0.2">
      <c r="A58" s="26"/>
      <c r="B58" s="38"/>
      <c r="C58" s="296" t="s">
        <v>304</v>
      </c>
      <c r="D58" s="296" t="str">
        <f>IF('WK2 - Notional General Income'!C15="","",'WK2 - Notional General Income'!C15)</f>
        <v/>
      </c>
      <c r="E58" s="406">
        <f>IF('WK2 - Notional General Income'!L15="","",'WK2 - Notional General Income'!L15/'WK2 - Notional General Income'!D15)</f>
        <v>969.96819025581351</v>
      </c>
      <c r="F58" s="406">
        <f>IF('WK3 - Notional GI 15-16 YIELD'!L13="","",'WK3 - Notional GI 15-16 YIELD'!L13/'WK3 - Notional GI 15-16 YIELD'!D13)</f>
        <v>990.5690939744353</v>
      </c>
      <c r="G58" s="577">
        <f>+F58*1.03</f>
        <v>1020.2861667936684</v>
      </c>
      <c r="H58" s="577">
        <f t="shared" ref="H58:L58" si="27">+G58*1.03</f>
        <v>1050.8947517974784</v>
      </c>
      <c r="I58" s="577">
        <f t="shared" si="27"/>
        <v>1082.4215943514027</v>
      </c>
      <c r="J58" s="577">
        <f t="shared" si="27"/>
        <v>1114.8942421819449</v>
      </c>
      <c r="K58" s="577">
        <f t="shared" si="27"/>
        <v>1148.3410694474032</v>
      </c>
      <c r="L58" s="577">
        <f t="shared" si="27"/>
        <v>1182.7913015308254</v>
      </c>
      <c r="M58" s="38"/>
      <c r="N58" s="403">
        <f>IF(F58="","",IF(E58=0,"",F58-E58))</f>
        <v>20.600903718621794</v>
      </c>
      <c r="O58" s="404">
        <f>IF(N58="","",N58/E58)</f>
        <v>2.123874156449258E-2</v>
      </c>
      <c r="P58" s="403">
        <f>IF(G58=0,"",IF(F58=0,"",G58-F58))</f>
        <v>29.717072819233067</v>
      </c>
      <c r="Q58" s="405">
        <f>IF(P58="","",P58/F58)</f>
        <v>3.0000000000000009E-2</v>
      </c>
      <c r="R58" s="406">
        <f>IF(P58="","",P58+N58)</f>
        <v>50.317976537854861</v>
      </c>
      <c r="S58" s="404">
        <f>IF(R58="","",R58/E58)</f>
        <v>5.1875903811427364E-2</v>
      </c>
      <c r="T58" s="403">
        <f>IF(H58=0,"",IF(G58=0,"",H58-G58))</f>
        <v>30.608585003810049</v>
      </c>
      <c r="U58" s="405">
        <f>IF(T58="","",T58/G58)</f>
        <v>0.03</v>
      </c>
      <c r="V58" s="406">
        <f>IF(T58="","",T58+R58)</f>
        <v>80.92656154166491</v>
      </c>
      <c r="W58" s="404">
        <f>IF(V58="","",V58/E58)</f>
        <v>8.3432180925770191E-2</v>
      </c>
      <c r="X58" s="403">
        <f>IF(I58=0,"",IF(H58=0,"",I58-H58))</f>
        <v>31.526842553924325</v>
      </c>
      <c r="Y58" s="405">
        <f>IF(X58="","",X58/H58)</f>
        <v>2.9999999999999975E-2</v>
      </c>
      <c r="Z58" s="406">
        <f>IF(X58="","",X58+V58)</f>
        <v>112.45340409558924</v>
      </c>
      <c r="AA58" s="404">
        <f>IF(Z58="","",Z58/E58)</f>
        <v>0.11593514635354327</v>
      </c>
      <c r="AB58" s="403">
        <f>IF(J58=0,"",IF(I58=0,"",J58-I58))</f>
        <v>32.472647830542201</v>
      </c>
      <c r="AC58" s="405">
        <f>IF(AB58="","",AB58/I58)</f>
        <v>3.000000000000011E-2</v>
      </c>
      <c r="AD58" s="406">
        <f>IF(AB58="","",AB58+Z58)</f>
        <v>144.92605192613144</v>
      </c>
      <c r="AE58" s="404">
        <f>IF(AD58="","",AD58/E58)</f>
        <v>0.14941320074414968</v>
      </c>
      <c r="AF58" s="403">
        <f>IF(K58=0,"",IF(J58=0,"",K58-J58))</f>
        <v>33.446827265458296</v>
      </c>
      <c r="AG58" s="405">
        <f>IF(AF58="","",AF58/J58)</f>
        <v>2.9999999999999954E-2</v>
      </c>
      <c r="AH58" s="406">
        <f>IF(AF58="","",AF58+AD58)</f>
        <v>178.37287919158973</v>
      </c>
      <c r="AI58" s="404">
        <f>IF(AH58="","",AH58/E58)</f>
        <v>0.18389559676647413</v>
      </c>
      <c r="AJ58" s="403">
        <f>IF(L58=0,"",IF(K58=0,"",L58-K58))</f>
        <v>34.450232083422179</v>
      </c>
      <c r="AK58" s="407">
        <f>IF(AJ58="","",AJ58/K58)</f>
        <v>3.0000000000000072E-2</v>
      </c>
      <c r="AL58" s="408">
        <f>IF(AJ58="","",AJ58+AH58)</f>
        <v>212.82311127501191</v>
      </c>
      <c r="AM58" s="404">
        <f>IF(AL58="","",AL58/E58)</f>
        <v>0.21941246466946843</v>
      </c>
      <c r="AN58" s="38"/>
    </row>
    <row r="59" spans="1:40" ht="12.75" x14ac:dyDescent="0.2">
      <c r="A59" s="26"/>
      <c r="B59" s="38"/>
      <c r="C59" s="296" t="s">
        <v>304</v>
      </c>
      <c r="D59" s="296" t="str">
        <f>IF('WK2 - Notional General Income'!C16="","",'WK2 - Notional General Income'!C16)</f>
        <v>Non Urban</v>
      </c>
      <c r="E59" s="406">
        <f>IF('WK2 - Notional General Income'!L16="","",'WK2 - Notional General Income'!L16/'WK2 - Notional General Income'!D16)</f>
        <v>66.385144014362652</v>
      </c>
      <c r="F59" s="406">
        <f>IF('WK3 - Notional GI 15-16 YIELD'!L14="","",'WK3 - Notional GI 15-16 YIELD'!L14/'WK3 - Notional GI 15-16 YIELD'!D14)</f>
        <v>68.655599202175878</v>
      </c>
      <c r="G59" s="577">
        <f>+F59*1.03</f>
        <v>70.715267178241163</v>
      </c>
      <c r="H59" s="577">
        <f t="shared" ref="H59:L59" si="28">+G59*1.03</f>
        <v>72.836725193588393</v>
      </c>
      <c r="I59" s="577">
        <f t="shared" si="28"/>
        <v>75.021826949396043</v>
      </c>
      <c r="J59" s="577">
        <f t="shared" si="28"/>
        <v>77.272481757877927</v>
      </c>
      <c r="K59" s="577">
        <f t="shared" si="28"/>
        <v>79.59065621061427</v>
      </c>
      <c r="L59" s="577">
        <f t="shared" si="28"/>
        <v>81.978375896932704</v>
      </c>
      <c r="M59" s="38"/>
      <c r="N59" s="403">
        <f t="shared" ref="N59:N122" si="29">IF(F59="","",IF(E59=0,"",F59-E59))</f>
        <v>2.2704551878132264</v>
      </c>
      <c r="O59" s="404">
        <f t="shared" ref="O59:O122" si="30">IF(N59="","",N59/E59)</f>
        <v>3.4201254234260688E-2</v>
      </c>
      <c r="P59" s="403">
        <f t="shared" ref="P59:P122" si="31">IF(G59=0,"",IF(F59=0,"",G59-F59))</f>
        <v>2.0596679760652847</v>
      </c>
      <c r="Q59" s="405">
        <f t="shared" ref="Q59:Q122" si="32">IF(P59="","",P59/F59)</f>
        <v>3.0000000000000124E-2</v>
      </c>
      <c r="R59" s="406">
        <f t="shared" ref="R59:R122" si="33">IF(P59="","",P59+N59)</f>
        <v>4.3301231638785111</v>
      </c>
      <c r="S59" s="404">
        <f t="shared" ref="S59:S122" si="34">IF(R59="","",R59/E59)</f>
        <v>6.5227291861288644E-2</v>
      </c>
      <c r="T59" s="403">
        <f t="shared" ref="T59:T122" si="35">IF(H59=0,"",IF(G59=0,"",H59-G59))</f>
        <v>2.1214580153472298</v>
      </c>
      <c r="U59" s="405">
        <f t="shared" ref="U59:U122" si="36">IF(T59="","",T59/G59)</f>
        <v>2.9999999999999926E-2</v>
      </c>
      <c r="V59" s="406">
        <f t="shared" ref="V59:V122" si="37">IF(T59="","",T59+R59)</f>
        <v>6.4515811792257409</v>
      </c>
      <c r="W59" s="404">
        <f t="shared" ref="W59:W122" si="38">IF(V59="","",V59/E59)</f>
        <v>9.7184110617127215E-2</v>
      </c>
      <c r="X59" s="403">
        <f t="shared" ref="X59:X122" si="39">IF(I59=0,"",IF(H59=0,"",I59-H59))</f>
        <v>2.1851017558076506</v>
      </c>
      <c r="Y59" s="405">
        <f t="shared" ref="Y59:Y122" si="40">IF(X59="","",X59/H59)</f>
        <v>2.9999999999999985E-2</v>
      </c>
      <c r="Z59" s="406">
        <f t="shared" ref="Z59:Z122" si="41">IF(X59="","",X59+V59)</f>
        <v>8.6366829350333916</v>
      </c>
      <c r="AA59" s="404">
        <f t="shared" ref="AA59:AA122" si="42">IF(Z59="","",Z59/E59)</f>
        <v>0.13009963393564103</v>
      </c>
      <c r="AB59" s="403">
        <f t="shared" ref="AB59:AB122" si="43">IF(J59=0,"",IF(I59=0,"",J59-I59))</f>
        <v>2.2506548084818832</v>
      </c>
      <c r="AC59" s="405">
        <f t="shared" ref="AC59:AC122" si="44">IF(AB59="","",AB59/I59)</f>
        <v>3.0000000000000023E-2</v>
      </c>
      <c r="AD59" s="406">
        <f t="shared" ref="AD59:AD122" si="45">IF(AB59="","",AB59+Z59)</f>
        <v>10.887337743515275</v>
      </c>
      <c r="AE59" s="404">
        <f t="shared" ref="AE59:AE122" si="46">IF(AD59="","",AD59/E59)</f>
        <v>0.16400262295371026</v>
      </c>
      <c r="AF59" s="403">
        <f t="shared" ref="AF59:AF122" si="47">IF(K59=0,"",IF(J59=0,"",K59-J59))</f>
        <v>2.3181744527363435</v>
      </c>
      <c r="AG59" s="405">
        <f t="shared" ref="AG59:AG122" si="48">IF(AF59="","",AF59/J59)</f>
        <v>3.0000000000000075E-2</v>
      </c>
      <c r="AH59" s="406">
        <f t="shared" ref="AH59:AH122" si="49">IF(AF59="","",AF59+AD59)</f>
        <v>13.205512196251618</v>
      </c>
      <c r="AI59" s="404">
        <f t="shared" ref="AI59:AI122" si="50">IF(AH59="","",AH59/E59)</f>
        <v>0.19892270164232168</v>
      </c>
      <c r="AJ59" s="403">
        <f t="shared" ref="AJ59:AJ122" si="51">IF(L59=0,"",IF(K59=0,"",L59-K59))</f>
        <v>2.3877196863184338</v>
      </c>
      <c r="AK59" s="407">
        <f t="shared" ref="AK59:AK122" si="52">IF(AJ59="","",AJ59/K59)</f>
        <v>3.0000000000000072E-2</v>
      </c>
      <c r="AL59" s="408">
        <f t="shared" ref="AL59:AL122" si="53">IF(AJ59="","",AJ59+AH59)</f>
        <v>15.593231882570052</v>
      </c>
      <c r="AM59" s="404">
        <f t="shared" ref="AM59:AM122" si="54">IF(AL59="","",AL59/E59)</f>
        <v>0.2348903826915914</v>
      </c>
      <c r="AN59" s="38"/>
    </row>
    <row r="60" spans="1:40" ht="12.75" x14ac:dyDescent="0.2">
      <c r="A60" s="26"/>
      <c r="B60" s="38"/>
      <c r="C60" s="296" t="s">
        <v>304</v>
      </c>
      <c r="D60" s="296" t="str">
        <f>IF('WK2 - Notional General Income'!C17="","",'WK2 - Notional General Income'!C17)</f>
        <v/>
      </c>
      <c r="E60" s="406" t="str">
        <f>IF('WK2 - Notional General Income'!L17="","",'WK2 - Notional General Income'!L17/'WK2 - Notional General Income'!D17)</f>
        <v/>
      </c>
      <c r="F60" s="406" t="str">
        <f>IF('WK3 - Notional GI 15-16 YIELD'!L15="","",'WK3 - Notional GI 15-16 YIELD'!L15/'WK3 - Notional GI 15-16 YIELD'!D15)</f>
        <v/>
      </c>
      <c r="G60" s="577"/>
      <c r="H60" s="577"/>
      <c r="I60" s="577"/>
      <c r="J60" s="577"/>
      <c r="K60" s="577"/>
      <c r="L60" s="577"/>
      <c r="M60" s="38"/>
      <c r="N60" s="403" t="str">
        <f t="shared" si="29"/>
        <v/>
      </c>
      <c r="O60" s="404" t="str">
        <f t="shared" si="30"/>
        <v/>
      </c>
      <c r="P60" s="403" t="str">
        <f t="shared" si="31"/>
        <v/>
      </c>
      <c r="Q60" s="405" t="str">
        <f t="shared" si="32"/>
        <v/>
      </c>
      <c r="R60" s="406" t="str">
        <f t="shared" si="33"/>
        <v/>
      </c>
      <c r="S60" s="404" t="str">
        <f t="shared" si="34"/>
        <v/>
      </c>
      <c r="T60" s="403" t="str">
        <f t="shared" si="35"/>
        <v/>
      </c>
      <c r="U60" s="405" t="str">
        <f t="shared" si="36"/>
        <v/>
      </c>
      <c r="V60" s="406" t="str">
        <f t="shared" si="37"/>
        <v/>
      </c>
      <c r="W60" s="404" t="str">
        <f t="shared" si="38"/>
        <v/>
      </c>
      <c r="X60" s="403" t="str">
        <f t="shared" si="39"/>
        <v/>
      </c>
      <c r="Y60" s="405" t="str">
        <f t="shared" si="40"/>
        <v/>
      </c>
      <c r="Z60" s="406" t="str">
        <f t="shared" si="41"/>
        <v/>
      </c>
      <c r="AA60" s="404" t="str">
        <f t="shared" si="42"/>
        <v/>
      </c>
      <c r="AB60" s="403" t="str">
        <f t="shared" si="43"/>
        <v/>
      </c>
      <c r="AC60" s="405" t="str">
        <f t="shared" si="44"/>
        <v/>
      </c>
      <c r="AD60" s="406" t="str">
        <f t="shared" si="45"/>
        <v/>
      </c>
      <c r="AE60" s="404" t="str">
        <f t="shared" si="46"/>
        <v/>
      </c>
      <c r="AF60" s="403" t="str">
        <f t="shared" si="47"/>
        <v/>
      </c>
      <c r="AG60" s="405" t="str">
        <f t="shared" si="48"/>
        <v/>
      </c>
      <c r="AH60" s="406" t="str">
        <f t="shared" si="49"/>
        <v/>
      </c>
      <c r="AI60" s="404" t="str">
        <f t="shared" si="50"/>
        <v/>
      </c>
      <c r="AJ60" s="403" t="str">
        <f t="shared" si="51"/>
        <v/>
      </c>
      <c r="AK60" s="407" t="str">
        <f t="shared" si="52"/>
        <v/>
      </c>
      <c r="AL60" s="408" t="str">
        <f t="shared" si="53"/>
        <v/>
      </c>
      <c r="AM60" s="404" t="str">
        <f t="shared" si="54"/>
        <v/>
      </c>
      <c r="AN60" s="38"/>
    </row>
    <row r="61" spans="1:40" ht="12.75" x14ac:dyDescent="0.2">
      <c r="A61" s="26"/>
      <c r="B61" s="38"/>
      <c r="C61" s="296" t="s">
        <v>304</v>
      </c>
      <c r="D61" s="296" t="str">
        <f>IF('WK2 - Notional General Income'!C18="","",'WK2 - Notional General Income'!C18)</f>
        <v/>
      </c>
      <c r="E61" s="406" t="str">
        <f>IF('WK2 - Notional General Income'!L18="","",'WK2 - Notional General Income'!L18/'WK2 - Notional General Income'!D18)</f>
        <v/>
      </c>
      <c r="F61" s="406" t="str">
        <f>IF('WK3 - Notional GI 15-16 YIELD'!L16="","",'WK3 - Notional GI 15-16 YIELD'!L16/'WK3 - Notional GI 15-16 YIELD'!D16)</f>
        <v/>
      </c>
      <c r="G61" s="577"/>
      <c r="H61" s="577"/>
      <c r="I61" s="577"/>
      <c r="J61" s="577"/>
      <c r="K61" s="577"/>
      <c r="L61" s="577"/>
      <c r="M61" s="38"/>
      <c r="N61" s="403" t="str">
        <f t="shared" si="29"/>
        <v/>
      </c>
      <c r="O61" s="404" t="str">
        <f t="shared" si="30"/>
        <v/>
      </c>
      <c r="P61" s="403" t="str">
        <f t="shared" si="31"/>
        <v/>
      </c>
      <c r="Q61" s="405" t="str">
        <f t="shared" si="32"/>
        <v/>
      </c>
      <c r="R61" s="406" t="str">
        <f t="shared" si="33"/>
        <v/>
      </c>
      <c r="S61" s="404" t="str">
        <f t="shared" si="34"/>
        <v/>
      </c>
      <c r="T61" s="403" t="str">
        <f t="shared" si="35"/>
        <v/>
      </c>
      <c r="U61" s="405" t="str">
        <f t="shared" si="36"/>
        <v/>
      </c>
      <c r="V61" s="406" t="str">
        <f t="shared" si="37"/>
        <v/>
      </c>
      <c r="W61" s="404" t="str">
        <f t="shared" si="38"/>
        <v/>
      </c>
      <c r="X61" s="403" t="str">
        <f t="shared" si="39"/>
        <v/>
      </c>
      <c r="Y61" s="405" t="str">
        <f t="shared" si="40"/>
        <v/>
      </c>
      <c r="Z61" s="406" t="str">
        <f t="shared" si="41"/>
        <v/>
      </c>
      <c r="AA61" s="404" t="str">
        <f t="shared" si="42"/>
        <v/>
      </c>
      <c r="AB61" s="403" t="str">
        <f t="shared" si="43"/>
        <v/>
      </c>
      <c r="AC61" s="405" t="str">
        <f t="shared" si="44"/>
        <v/>
      </c>
      <c r="AD61" s="406" t="str">
        <f t="shared" si="45"/>
        <v/>
      </c>
      <c r="AE61" s="404" t="str">
        <f t="shared" si="46"/>
        <v/>
      </c>
      <c r="AF61" s="403" t="str">
        <f t="shared" si="47"/>
        <v/>
      </c>
      <c r="AG61" s="405" t="str">
        <f t="shared" si="48"/>
        <v/>
      </c>
      <c r="AH61" s="406" t="str">
        <f t="shared" si="49"/>
        <v/>
      </c>
      <c r="AI61" s="404" t="str">
        <f t="shared" si="50"/>
        <v/>
      </c>
      <c r="AJ61" s="403" t="str">
        <f t="shared" si="51"/>
        <v/>
      </c>
      <c r="AK61" s="407" t="str">
        <f t="shared" si="52"/>
        <v/>
      </c>
      <c r="AL61" s="408" t="str">
        <f t="shared" si="53"/>
        <v/>
      </c>
      <c r="AM61" s="404" t="str">
        <f t="shared" si="54"/>
        <v/>
      </c>
      <c r="AN61" s="38"/>
    </row>
    <row r="62" spans="1:40" ht="12.75" x14ac:dyDescent="0.2">
      <c r="A62" s="26"/>
      <c r="B62" s="38"/>
      <c r="C62" s="296" t="s">
        <v>304</v>
      </c>
      <c r="D62" s="296" t="str">
        <f>IF('WK2 - Notional General Income'!C19="","",'WK2 - Notional General Income'!C19)</f>
        <v/>
      </c>
      <c r="E62" s="406" t="str">
        <f>IF('WK2 - Notional General Income'!L19="","",'WK2 - Notional General Income'!L19/'WK2 - Notional General Income'!D19)</f>
        <v/>
      </c>
      <c r="F62" s="406" t="str">
        <f>IF('WK3 - Notional GI 15-16 YIELD'!L17="","",'WK3 - Notional GI 15-16 YIELD'!L17/'WK3 - Notional GI 15-16 YIELD'!D17)</f>
        <v/>
      </c>
      <c r="G62" s="577"/>
      <c r="H62" s="577"/>
      <c r="I62" s="577"/>
      <c r="J62" s="577"/>
      <c r="K62" s="577"/>
      <c r="L62" s="577"/>
      <c r="M62" s="38"/>
      <c r="N62" s="403" t="str">
        <f t="shared" si="29"/>
        <v/>
      </c>
      <c r="O62" s="404" t="str">
        <f t="shared" si="30"/>
        <v/>
      </c>
      <c r="P62" s="403" t="str">
        <f t="shared" si="31"/>
        <v/>
      </c>
      <c r="Q62" s="405" t="str">
        <f t="shared" si="32"/>
        <v/>
      </c>
      <c r="R62" s="406" t="str">
        <f t="shared" si="33"/>
        <v/>
      </c>
      <c r="S62" s="404" t="str">
        <f t="shared" si="34"/>
        <v/>
      </c>
      <c r="T62" s="403" t="str">
        <f t="shared" si="35"/>
        <v/>
      </c>
      <c r="U62" s="405" t="str">
        <f t="shared" si="36"/>
        <v/>
      </c>
      <c r="V62" s="406" t="str">
        <f t="shared" si="37"/>
        <v/>
      </c>
      <c r="W62" s="404" t="str">
        <f t="shared" si="38"/>
        <v/>
      </c>
      <c r="X62" s="403" t="str">
        <f t="shared" si="39"/>
        <v/>
      </c>
      <c r="Y62" s="405" t="str">
        <f t="shared" si="40"/>
        <v/>
      </c>
      <c r="Z62" s="406" t="str">
        <f t="shared" si="41"/>
        <v/>
      </c>
      <c r="AA62" s="404" t="str">
        <f t="shared" si="42"/>
        <v/>
      </c>
      <c r="AB62" s="403" t="str">
        <f t="shared" si="43"/>
        <v/>
      </c>
      <c r="AC62" s="405" t="str">
        <f t="shared" si="44"/>
        <v/>
      </c>
      <c r="AD62" s="406" t="str">
        <f t="shared" si="45"/>
        <v/>
      </c>
      <c r="AE62" s="404" t="str">
        <f t="shared" si="46"/>
        <v/>
      </c>
      <c r="AF62" s="403" t="str">
        <f t="shared" si="47"/>
        <v/>
      </c>
      <c r="AG62" s="405" t="str">
        <f t="shared" si="48"/>
        <v/>
      </c>
      <c r="AH62" s="406" t="str">
        <f t="shared" si="49"/>
        <v/>
      </c>
      <c r="AI62" s="404" t="str">
        <f t="shared" si="50"/>
        <v/>
      </c>
      <c r="AJ62" s="403" t="str">
        <f t="shared" si="51"/>
        <v/>
      </c>
      <c r="AK62" s="407" t="str">
        <f t="shared" si="52"/>
        <v/>
      </c>
      <c r="AL62" s="408" t="str">
        <f t="shared" si="53"/>
        <v/>
      </c>
      <c r="AM62" s="404" t="str">
        <f t="shared" si="54"/>
        <v/>
      </c>
      <c r="AN62" s="38"/>
    </row>
    <row r="63" spans="1:40" ht="12.75" x14ac:dyDescent="0.2">
      <c r="A63" s="26"/>
      <c r="B63" s="38"/>
      <c r="C63" s="296" t="s">
        <v>304</v>
      </c>
      <c r="D63" s="296" t="str">
        <f>IF('WK2 - Notional General Income'!C20="","",'WK2 - Notional General Income'!C20)</f>
        <v/>
      </c>
      <c r="E63" s="406" t="str">
        <f>IF('WK2 - Notional General Income'!L20="","",'WK2 - Notional General Income'!L20/'WK2 - Notional General Income'!D20)</f>
        <v/>
      </c>
      <c r="F63" s="406" t="str">
        <f>IF('WK3 - Notional GI 15-16 YIELD'!L18="","",'WK3 - Notional GI 15-16 YIELD'!L18/'WK3 - Notional GI 15-16 YIELD'!D18)</f>
        <v/>
      </c>
      <c r="G63" s="577"/>
      <c r="H63" s="577"/>
      <c r="I63" s="577"/>
      <c r="J63" s="577"/>
      <c r="K63" s="577"/>
      <c r="L63" s="577"/>
      <c r="M63" s="38"/>
      <c r="N63" s="403" t="str">
        <f t="shared" si="29"/>
        <v/>
      </c>
      <c r="O63" s="404" t="str">
        <f t="shared" si="30"/>
        <v/>
      </c>
      <c r="P63" s="403" t="str">
        <f t="shared" si="31"/>
        <v/>
      </c>
      <c r="Q63" s="405" t="str">
        <f t="shared" si="32"/>
        <v/>
      </c>
      <c r="R63" s="406" t="str">
        <f t="shared" si="33"/>
        <v/>
      </c>
      <c r="S63" s="404" t="str">
        <f t="shared" si="34"/>
        <v/>
      </c>
      <c r="T63" s="403" t="str">
        <f t="shared" si="35"/>
        <v/>
      </c>
      <c r="U63" s="405" t="str">
        <f t="shared" si="36"/>
        <v/>
      </c>
      <c r="V63" s="406" t="str">
        <f t="shared" si="37"/>
        <v/>
      </c>
      <c r="W63" s="404" t="str">
        <f t="shared" si="38"/>
        <v/>
      </c>
      <c r="X63" s="403" t="str">
        <f t="shared" si="39"/>
        <v/>
      </c>
      <c r="Y63" s="405" t="str">
        <f t="shared" si="40"/>
        <v/>
      </c>
      <c r="Z63" s="406" t="str">
        <f t="shared" si="41"/>
        <v/>
      </c>
      <c r="AA63" s="404" t="str">
        <f t="shared" si="42"/>
        <v/>
      </c>
      <c r="AB63" s="403" t="str">
        <f t="shared" si="43"/>
        <v/>
      </c>
      <c r="AC63" s="405" t="str">
        <f t="shared" si="44"/>
        <v/>
      </c>
      <c r="AD63" s="406" t="str">
        <f t="shared" si="45"/>
        <v/>
      </c>
      <c r="AE63" s="404" t="str">
        <f t="shared" si="46"/>
        <v/>
      </c>
      <c r="AF63" s="403" t="str">
        <f t="shared" si="47"/>
        <v/>
      </c>
      <c r="AG63" s="405" t="str">
        <f t="shared" si="48"/>
        <v/>
      </c>
      <c r="AH63" s="406" t="str">
        <f t="shared" si="49"/>
        <v/>
      </c>
      <c r="AI63" s="404" t="str">
        <f t="shared" si="50"/>
        <v/>
      </c>
      <c r="AJ63" s="403" t="str">
        <f t="shared" si="51"/>
        <v/>
      </c>
      <c r="AK63" s="407" t="str">
        <f t="shared" si="52"/>
        <v/>
      </c>
      <c r="AL63" s="408" t="str">
        <f t="shared" si="53"/>
        <v/>
      </c>
      <c r="AM63" s="404" t="str">
        <f t="shared" si="54"/>
        <v/>
      </c>
      <c r="AN63" s="38"/>
    </row>
    <row r="64" spans="1:40" ht="12.75" x14ac:dyDescent="0.2">
      <c r="A64" s="26"/>
      <c r="B64" s="38"/>
      <c r="C64" s="296" t="s">
        <v>304</v>
      </c>
      <c r="D64" s="296" t="str">
        <f>IF('WK2 - Notional General Income'!C21="","",'WK2 - Notional General Income'!C21)</f>
        <v/>
      </c>
      <c r="E64" s="406" t="str">
        <f>IF('WK2 - Notional General Income'!L21="","",'WK2 - Notional General Income'!L21/'WK2 - Notional General Income'!D21)</f>
        <v/>
      </c>
      <c r="F64" s="406" t="str">
        <f>IF('WK3 - Notional GI 15-16 YIELD'!L19="","",'WK3 - Notional GI 15-16 YIELD'!L19/'WK3 - Notional GI 15-16 YIELD'!D19)</f>
        <v/>
      </c>
      <c r="G64" s="577"/>
      <c r="H64" s="577"/>
      <c r="I64" s="577"/>
      <c r="J64" s="577"/>
      <c r="K64" s="577"/>
      <c r="L64" s="577"/>
      <c r="M64" s="38"/>
      <c r="N64" s="403" t="str">
        <f t="shared" si="29"/>
        <v/>
      </c>
      <c r="O64" s="404" t="str">
        <f t="shared" si="30"/>
        <v/>
      </c>
      <c r="P64" s="403" t="str">
        <f t="shared" si="31"/>
        <v/>
      </c>
      <c r="Q64" s="405" t="str">
        <f t="shared" si="32"/>
        <v/>
      </c>
      <c r="R64" s="406" t="str">
        <f t="shared" si="33"/>
        <v/>
      </c>
      <c r="S64" s="404" t="str">
        <f t="shared" si="34"/>
        <v/>
      </c>
      <c r="T64" s="403" t="str">
        <f t="shared" si="35"/>
        <v/>
      </c>
      <c r="U64" s="405" t="str">
        <f t="shared" si="36"/>
        <v/>
      </c>
      <c r="V64" s="406" t="str">
        <f t="shared" si="37"/>
        <v/>
      </c>
      <c r="W64" s="404" t="str">
        <f t="shared" si="38"/>
        <v/>
      </c>
      <c r="X64" s="403" t="str">
        <f t="shared" si="39"/>
        <v/>
      </c>
      <c r="Y64" s="405" t="str">
        <f t="shared" si="40"/>
        <v/>
      </c>
      <c r="Z64" s="406" t="str">
        <f t="shared" si="41"/>
        <v/>
      </c>
      <c r="AA64" s="404" t="str">
        <f t="shared" si="42"/>
        <v/>
      </c>
      <c r="AB64" s="403" t="str">
        <f t="shared" si="43"/>
        <v/>
      </c>
      <c r="AC64" s="405" t="str">
        <f t="shared" si="44"/>
        <v/>
      </c>
      <c r="AD64" s="406" t="str">
        <f t="shared" si="45"/>
        <v/>
      </c>
      <c r="AE64" s="404" t="str">
        <f t="shared" si="46"/>
        <v/>
      </c>
      <c r="AF64" s="403" t="str">
        <f t="shared" si="47"/>
        <v/>
      </c>
      <c r="AG64" s="405" t="str">
        <f t="shared" si="48"/>
        <v/>
      </c>
      <c r="AH64" s="406" t="str">
        <f t="shared" si="49"/>
        <v/>
      </c>
      <c r="AI64" s="404" t="str">
        <f t="shared" si="50"/>
        <v/>
      </c>
      <c r="AJ64" s="403" t="str">
        <f t="shared" si="51"/>
        <v/>
      </c>
      <c r="AK64" s="407" t="str">
        <f t="shared" si="52"/>
        <v/>
      </c>
      <c r="AL64" s="408" t="str">
        <f t="shared" si="53"/>
        <v/>
      </c>
      <c r="AM64" s="404" t="str">
        <f t="shared" si="54"/>
        <v/>
      </c>
      <c r="AN64" s="38"/>
    </row>
    <row r="65" spans="1:40" ht="12.75" x14ac:dyDescent="0.2">
      <c r="A65" s="26"/>
      <c r="B65" s="38"/>
      <c r="C65" s="296" t="s">
        <v>304</v>
      </c>
      <c r="D65" s="296" t="str">
        <f>IF('WK2 - Notional General Income'!C22="","",'WK2 - Notional General Income'!C22)</f>
        <v/>
      </c>
      <c r="E65" s="406" t="str">
        <f>IF('WK2 - Notional General Income'!L22="","",'WK2 - Notional General Income'!L22/'WK2 - Notional General Income'!D22)</f>
        <v/>
      </c>
      <c r="F65" s="406" t="str">
        <f>IF('WK3 - Notional GI 15-16 YIELD'!L20="","",'WK3 - Notional GI 15-16 YIELD'!L20/'WK3 - Notional GI 15-16 YIELD'!D20)</f>
        <v/>
      </c>
      <c r="G65" s="577"/>
      <c r="H65" s="577"/>
      <c r="I65" s="577"/>
      <c r="J65" s="577"/>
      <c r="K65" s="577"/>
      <c r="L65" s="577"/>
      <c r="M65" s="38"/>
      <c r="N65" s="403" t="str">
        <f t="shared" si="29"/>
        <v/>
      </c>
      <c r="O65" s="404" t="str">
        <f t="shared" si="30"/>
        <v/>
      </c>
      <c r="P65" s="403" t="str">
        <f t="shared" si="31"/>
        <v/>
      </c>
      <c r="Q65" s="405" t="str">
        <f t="shared" si="32"/>
        <v/>
      </c>
      <c r="R65" s="406" t="str">
        <f t="shared" si="33"/>
        <v/>
      </c>
      <c r="S65" s="404" t="str">
        <f t="shared" si="34"/>
        <v/>
      </c>
      <c r="T65" s="403" t="str">
        <f t="shared" si="35"/>
        <v/>
      </c>
      <c r="U65" s="405" t="str">
        <f t="shared" si="36"/>
        <v/>
      </c>
      <c r="V65" s="406" t="str">
        <f t="shared" si="37"/>
        <v/>
      </c>
      <c r="W65" s="404" t="str">
        <f t="shared" si="38"/>
        <v/>
      </c>
      <c r="X65" s="403" t="str">
        <f t="shared" si="39"/>
        <v/>
      </c>
      <c r="Y65" s="405" t="str">
        <f t="shared" si="40"/>
        <v/>
      </c>
      <c r="Z65" s="406" t="str">
        <f t="shared" si="41"/>
        <v/>
      </c>
      <c r="AA65" s="404" t="str">
        <f t="shared" si="42"/>
        <v/>
      </c>
      <c r="AB65" s="403" t="str">
        <f t="shared" si="43"/>
        <v/>
      </c>
      <c r="AC65" s="405" t="str">
        <f t="shared" si="44"/>
        <v/>
      </c>
      <c r="AD65" s="406" t="str">
        <f t="shared" si="45"/>
        <v/>
      </c>
      <c r="AE65" s="404" t="str">
        <f t="shared" si="46"/>
        <v/>
      </c>
      <c r="AF65" s="403" t="str">
        <f t="shared" si="47"/>
        <v/>
      </c>
      <c r="AG65" s="405" t="str">
        <f t="shared" si="48"/>
        <v/>
      </c>
      <c r="AH65" s="406" t="str">
        <f t="shared" si="49"/>
        <v/>
      </c>
      <c r="AI65" s="404" t="str">
        <f t="shared" si="50"/>
        <v/>
      </c>
      <c r="AJ65" s="403" t="str">
        <f t="shared" si="51"/>
        <v/>
      </c>
      <c r="AK65" s="407" t="str">
        <f t="shared" si="52"/>
        <v/>
      </c>
      <c r="AL65" s="408" t="str">
        <f t="shared" si="53"/>
        <v/>
      </c>
      <c r="AM65" s="404" t="str">
        <f t="shared" si="54"/>
        <v/>
      </c>
      <c r="AN65" s="38"/>
    </row>
    <row r="66" spans="1:40" ht="12.75" x14ac:dyDescent="0.2">
      <c r="A66" s="26"/>
      <c r="B66" s="38"/>
      <c r="C66" s="296" t="s">
        <v>304</v>
      </c>
      <c r="D66" s="296" t="str">
        <f>IF('WK2 - Notional General Income'!C23="","",'WK2 - Notional General Income'!C23)</f>
        <v/>
      </c>
      <c r="E66" s="406" t="str">
        <f>IF('WK2 - Notional General Income'!L23="","",'WK2 - Notional General Income'!L23/'WK2 - Notional General Income'!D23)</f>
        <v/>
      </c>
      <c r="F66" s="406" t="str">
        <f>IF('WK3 - Notional GI 15-16 YIELD'!L21="","",'WK3 - Notional GI 15-16 YIELD'!L21/'WK3 - Notional GI 15-16 YIELD'!D21)</f>
        <v/>
      </c>
      <c r="G66" s="577"/>
      <c r="H66" s="577"/>
      <c r="I66" s="577"/>
      <c r="J66" s="577"/>
      <c r="K66" s="577"/>
      <c r="L66" s="577"/>
      <c r="M66" s="38"/>
      <c r="N66" s="403" t="str">
        <f t="shared" si="29"/>
        <v/>
      </c>
      <c r="O66" s="404" t="str">
        <f t="shared" si="30"/>
        <v/>
      </c>
      <c r="P66" s="403" t="str">
        <f t="shared" si="31"/>
        <v/>
      </c>
      <c r="Q66" s="405" t="str">
        <f t="shared" si="32"/>
        <v/>
      </c>
      <c r="R66" s="406" t="str">
        <f t="shared" si="33"/>
        <v/>
      </c>
      <c r="S66" s="404" t="str">
        <f t="shared" si="34"/>
        <v/>
      </c>
      <c r="T66" s="403" t="str">
        <f t="shared" si="35"/>
        <v/>
      </c>
      <c r="U66" s="405" t="str">
        <f t="shared" si="36"/>
        <v/>
      </c>
      <c r="V66" s="406" t="str">
        <f t="shared" si="37"/>
        <v/>
      </c>
      <c r="W66" s="404" t="str">
        <f t="shared" si="38"/>
        <v/>
      </c>
      <c r="X66" s="403" t="str">
        <f t="shared" si="39"/>
        <v/>
      </c>
      <c r="Y66" s="405" t="str">
        <f t="shared" si="40"/>
        <v/>
      </c>
      <c r="Z66" s="406" t="str">
        <f t="shared" si="41"/>
        <v/>
      </c>
      <c r="AA66" s="404" t="str">
        <f t="shared" si="42"/>
        <v/>
      </c>
      <c r="AB66" s="403" t="str">
        <f t="shared" si="43"/>
        <v/>
      </c>
      <c r="AC66" s="405" t="str">
        <f t="shared" si="44"/>
        <v/>
      </c>
      <c r="AD66" s="406" t="str">
        <f t="shared" si="45"/>
        <v/>
      </c>
      <c r="AE66" s="404" t="str">
        <f t="shared" si="46"/>
        <v/>
      </c>
      <c r="AF66" s="403" t="str">
        <f t="shared" si="47"/>
        <v/>
      </c>
      <c r="AG66" s="405" t="str">
        <f t="shared" si="48"/>
        <v/>
      </c>
      <c r="AH66" s="406" t="str">
        <f t="shared" si="49"/>
        <v/>
      </c>
      <c r="AI66" s="404" t="str">
        <f t="shared" si="50"/>
        <v/>
      </c>
      <c r="AJ66" s="403" t="str">
        <f t="shared" si="51"/>
        <v/>
      </c>
      <c r="AK66" s="407" t="str">
        <f t="shared" si="52"/>
        <v/>
      </c>
      <c r="AL66" s="408" t="str">
        <f t="shared" si="53"/>
        <v/>
      </c>
      <c r="AM66" s="404" t="str">
        <f t="shared" si="54"/>
        <v/>
      </c>
      <c r="AN66" s="38"/>
    </row>
    <row r="67" spans="1:40" ht="12.75" x14ac:dyDescent="0.2">
      <c r="A67" s="26"/>
      <c r="B67" s="38"/>
      <c r="C67" s="296" t="s">
        <v>304</v>
      </c>
      <c r="D67" s="296" t="str">
        <f>IF('WK2 - Notional General Income'!C24="","",'WK2 - Notional General Income'!C24)</f>
        <v/>
      </c>
      <c r="E67" s="406" t="str">
        <f>IF('WK2 - Notional General Income'!L24="","",'WK2 - Notional General Income'!L24/'WK2 - Notional General Income'!D24)</f>
        <v/>
      </c>
      <c r="F67" s="406" t="str">
        <f>IF('WK3 - Notional GI 15-16 YIELD'!L22="","",'WK3 - Notional GI 15-16 YIELD'!L22/'WK3 - Notional GI 15-16 YIELD'!D22)</f>
        <v/>
      </c>
      <c r="G67" s="577"/>
      <c r="H67" s="577"/>
      <c r="I67" s="577"/>
      <c r="J67" s="577"/>
      <c r="K67" s="577"/>
      <c r="L67" s="577"/>
      <c r="M67" s="38"/>
      <c r="N67" s="403" t="str">
        <f t="shared" si="29"/>
        <v/>
      </c>
      <c r="O67" s="404" t="str">
        <f t="shared" si="30"/>
        <v/>
      </c>
      <c r="P67" s="403" t="str">
        <f t="shared" si="31"/>
        <v/>
      </c>
      <c r="Q67" s="405" t="str">
        <f t="shared" si="32"/>
        <v/>
      </c>
      <c r="R67" s="406" t="str">
        <f t="shared" si="33"/>
        <v/>
      </c>
      <c r="S67" s="404" t="str">
        <f t="shared" si="34"/>
        <v/>
      </c>
      <c r="T67" s="403" t="str">
        <f t="shared" si="35"/>
        <v/>
      </c>
      <c r="U67" s="405" t="str">
        <f t="shared" si="36"/>
        <v/>
      </c>
      <c r="V67" s="406" t="str">
        <f t="shared" si="37"/>
        <v/>
      </c>
      <c r="W67" s="404" t="str">
        <f t="shared" si="38"/>
        <v/>
      </c>
      <c r="X67" s="403" t="str">
        <f t="shared" si="39"/>
        <v/>
      </c>
      <c r="Y67" s="405" t="str">
        <f t="shared" si="40"/>
        <v/>
      </c>
      <c r="Z67" s="406" t="str">
        <f t="shared" si="41"/>
        <v/>
      </c>
      <c r="AA67" s="404" t="str">
        <f t="shared" si="42"/>
        <v/>
      </c>
      <c r="AB67" s="403" t="str">
        <f t="shared" si="43"/>
        <v/>
      </c>
      <c r="AC67" s="405" t="str">
        <f t="shared" si="44"/>
        <v/>
      </c>
      <c r="AD67" s="406" t="str">
        <f t="shared" si="45"/>
        <v/>
      </c>
      <c r="AE67" s="404" t="str">
        <f t="shared" si="46"/>
        <v/>
      </c>
      <c r="AF67" s="403" t="str">
        <f t="shared" si="47"/>
        <v/>
      </c>
      <c r="AG67" s="405" t="str">
        <f t="shared" si="48"/>
        <v/>
      </c>
      <c r="AH67" s="406" t="str">
        <f t="shared" si="49"/>
        <v/>
      </c>
      <c r="AI67" s="404" t="str">
        <f t="shared" si="50"/>
        <v/>
      </c>
      <c r="AJ67" s="403" t="str">
        <f t="shared" si="51"/>
        <v/>
      </c>
      <c r="AK67" s="407" t="str">
        <f t="shared" si="52"/>
        <v/>
      </c>
      <c r="AL67" s="408" t="str">
        <f t="shared" si="53"/>
        <v/>
      </c>
      <c r="AM67" s="404" t="str">
        <f t="shared" si="54"/>
        <v/>
      </c>
      <c r="AN67" s="38"/>
    </row>
    <row r="68" spans="1:40" ht="12.75" x14ac:dyDescent="0.2">
      <c r="A68" s="26"/>
      <c r="B68" s="38"/>
      <c r="C68" s="296" t="s">
        <v>304</v>
      </c>
      <c r="D68" s="296" t="str">
        <f>IF('WK2 - Notional General Income'!C25="","",'WK2 - Notional General Income'!C25)</f>
        <v/>
      </c>
      <c r="E68" s="406" t="str">
        <f>IF('WK2 - Notional General Income'!L25="","",'WK2 - Notional General Income'!L25/'WK2 - Notional General Income'!D25)</f>
        <v/>
      </c>
      <c r="F68" s="406" t="str">
        <f>IF('WK3 - Notional GI 15-16 YIELD'!L23="","",'WK3 - Notional GI 15-16 YIELD'!L23/'WK3 - Notional GI 15-16 YIELD'!D23)</f>
        <v/>
      </c>
      <c r="G68" s="577"/>
      <c r="H68" s="577"/>
      <c r="I68" s="577"/>
      <c r="J68" s="577"/>
      <c r="K68" s="577"/>
      <c r="L68" s="577"/>
      <c r="M68" s="38"/>
      <c r="N68" s="403" t="str">
        <f t="shared" si="29"/>
        <v/>
      </c>
      <c r="O68" s="404" t="str">
        <f t="shared" si="30"/>
        <v/>
      </c>
      <c r="P68" s="403" t="str">
        <f t="shared" si="31"/>
        <v/>
      </c>
      <c r="Q68" s="405" t="str">
        <f t="shared" si="32"/>
        <v/>
      </c>
      <c r="R68" s="406" t="str">
        <f t="shared" si="33"/>
        <v/>
      </c>
      <c r="S68" s="404" t="str">
        <f t="shared" si="34"/>
        <v/>
      </c>
      <c r="T68" s="403" t="str">
        <f t="shared" si="35"/>
        <v/>
      </c>
      <c r="U68" s="405" t="str">
        <f t="shared" si="36"/>
        <v/>
      </c>
      <c r="V68" s="406" t="str">
        <f t="shared" si="37"/>
        <v/>
      </c>
      <c r="W68" s="404" t="str">
        <f t="shared" si="38"/>
        <v/>
      </c>
      <c r="X68" s="403" t="str">
        <f t="shared" si="39"/>
        <v/>
      </c>
      <c r="Y68" s="405" t="str">
        <f t="shared" si="40"/>
        <v/>
      </c>
      <c r="Z68" s="406" t="str">
        <f t="shared" si="41"/>
        <v/>
      </c>
      <c r="AA68" s="404" t="str">
        <f t="shared" si="42"/>
        <v/>
      </c>
      <c r="AB68" s="403" t="str">
        <f t="shared" si="43"/>
        <v/>
      </c>
      <c r="AC68" s="405" t="str">
        <f t="shared" si="44"/>
        <v/>
      </c>
      <c r="AD68" s="406" t="str">
        <f t="shared" si="45"/>
        <v/>
      </c>
      <c r="AE68" s="404" t="str">
        <f t="shared" si="46"/>
        <v/>
      </c>
      <c r="AF68" s="403" t="str">
        <f t="shared" si="47"/>
        <v/>
      </c>
      <c r="AG68" s="405" t="str">
        <f t="shared" si="48"/>
        <v/>
      </c>
      <c r="AH68" s="406" t="str">
        <f t="shared" si="49"/>
        <v/>
      </c>
      <c r="AI68" s="404" t="str">
        <f t="shared" si="50"/>
        <v/>
      </c>
      <c r="AJ68" s="403" t="str">
        <f t="shared" si="51"/>
        <v/>
      </c>
      <c r="AK68" s="407" t="str">
        <f t="shared" si="52"/>
        <v/>
      </c>
      <c r="AL68" s="408" t="str">
        <f t="shared" si="53"/>
        <v/>
      </c>
      <c r="AM68" s="404" t="str">
        <f t="shared" si="54"/>
        <v/>
      </c>
      <c r="AN68" s="38"/>
    </row>
    <row r="69" spans="1:40" ht="12.75" x14ac:dyDescent="0.2">
      <c r="A69" s="26"/>
      <c r="B69" s="38"/>
      <c r="C69" s="296" t="s">
        <v>304</v>
      </c>
      <c r="D69" s="296" t="str">
        <f>IF('WK2 - Notional General Income'!C26="","",'WK2 - Notional General Income'!C26)</f>
        <v/>
      </c>
      <c r="E69" s="406" t="str">
        <f>IF('WK2 - Notional General Income'!L26="","",'WK2 - Notional General Income'!L26/'WK2 - Notional General Income'!D26)</f>
        <v/>
      </c>
      <c r="F69" s="406" t="str">
        <f>IF('WK3 - Notional GI 15-16 YIELD'!L24="","",'WK3 - Notional GI 15-16 YIELD'!L24/'WK3 - Notional GI 15-16 YIELD'!D24)</f>
        <v/>
      </c>
      <c r="G69" s="577"/>
      <c r="H69" s="577"/>
      <c r="I69" s="577"/>
      <c r="J69" s="577"/>
      <c r="K69" s="577"/>
      <c r="L69" s="577"/>
      <c r="M69" s="38"/>
      <c r="N69" s="403" t="str">
        <f t="shared" si="29"/>
        <v/>
      </c>
      <c r="O69" s="404" t="str">
        <f t="shared" si="30"/>
        <v/>
      </c>
      <c r="P69" s="403" t="str">
        <f t="shared" si="31"/>
        <v/>
      </c>
      <c r="Q69" s="405" t="str">
        <f t="shared" si="32"/>
        <v/>
      </c>
      <c r="R69" s="406" t="str">
        <f t="shared" si="33"/>
        <v/>
      </c>
      <c r="S69" s="404" t="str">
        <f t="shared" si="34"/>
        <v/>
      </c>
      <c r="T69" s="403" t="str">
        <f t="shared" si="35"/>
        <v/>
      </c>
      <c r="U69" s="405" t="str">
        <f t="shared" si="36"/>
        <v/>
      </c>
      <c r="V69" s="406" t="str">
        <f t="shared" si="37"/>
        <v/>
      </c>
      <c r="W69" s="404" t="str">
        <f t="shared" si="38"/>
        <v/>
      </c>
      <c r="X69" s="403" t="str">
        <f t="shared" si="39"/>
        <v/>
      </c>
      <c r="Y69" s="405" t="str">
        <f t="shared" si="40"/>
        <v/>
      </c>
      <c r="Z69" s="406" t="str">
        <f t="shared" si="41"/>
        <v/>
      </c>
      <c r="AA69" s="404" t="str">
        <f t="shared" si="42"/>
        <v/>
      </c>
      <c r="AB69" s="403" t="str">
        <f t="shared" si="43"/>
        <v/>
      </c>
      <c r="AC69" s="405" t="str">
        <f t="shared" si="44"/>
        <v/>
      </c>
      <c r="AD69" s="406" t="str">
        <f t="shared" si="45"/>
        <v/>
      </c>
      <c r="AE69" s="404" t="str">
        <f t="shared" si="46"/>
        <v/>
      </c>
      <c r="AF69" s="403" t="str">
        <f t="shared" si="47"/>
        <v/>
      </c>
      <c r="AG69" s="405" t="str">
        <f t="shared" si="48"/>
        <v/>
      </c>
      <c r="AH69" s="406" t="str">
        <f t="shared" si="49"/>
        <v/>
      </c>
      <c r="AI69" s="404" t="str">
        <f t="shared" si="50"/>
        <v/>
      </c>
      <c r="AJ69" s="403" t="str">
        <f t="shared" si="51"/>
        <v/>
      </c>
      <c r="AK69" s="407" t="str">
        <f t="shared" si="52"/>
        <v/>
      </c>
      <c r="AL69" s="408" t="str">
        <f t="shared" si="53"/>
        <v/>
      </c>
      <c r="AM69" s="404" t="str">
        <f t="shared" si="54"/>
        <v/>
      </c>
      <c r="AN69" s="38"/>
    </row>
    <row r="70" spans="1:40" ht="12.75" x14ac:dyDescent="0.2">
      <c r="A70" s="26"/>
      <c r="B70" s="38"/>
      <c r="C70" s="296" t="s">
        <v>304</v>
      </c>
      <c r="D70" s="296" t="str">
        <f>IF('WK2 - Notional General Income'!C27="","",'WK2 - Notional General Income'!C27)</f>
        <v/>
      </c>
      <c r="E70" s="406" t="str">
        <f>IF('WK2 - Notional General Income'!L27="","",'WK2 - Notional General Income'!L27/'WK2 - Notional General Income'!D27)</f>
        <v/>
      </c>
      <c r="F70" s="406" t="str">
        <f>IF('WK3 - Notional GI 15-16 YIELD'!L25="","",'WK3 - Notional GI 15-16 YIELD'!L25/'WK3 - Notional GI 15-16 YIELD'!D25)</f>
        <v/>
      </c>
      <c r="G70" s="577"/>
      <c r="H70" s="577"/>
      <c r="I70" s="577"/>
      <c r="J70" s="577"/>
      <c r="K70" s="577"/>
      <c r="L70" s="577"/>
      <c r="M70" s="38"/>
      <c r="N70" s="403" t="str">
        <f t="shared" si="29"/>
        <v/>
      </c>
      <c r="O70" s="404" t="str">
        <f t="shared" si="30"/>
        <v/>
      </c>
      <c r="P70" s="403" t="str">
        <f t="shared" si="31"/>
        <v/>
      </c>
      <c r="Q70" s="405" t="str">
        <f t="shared" si="32"/>
        <v/>
      </c>
      <c r="R70" s="406" t="str">
        <f t="shared" si="33"/>
        <v/>
      </c>
      <c r="S70" s="404" t="str">
        <f t="shared" si="34"/>
        <v/>
      </c>
      <c r="T70" s="403" t="str">
        <f t="shared" si="35"/>
        <v/>
      </c>
      <c r="U70" s="405" t="str">
        <f t="shared" si="36"/>
        <v/>
      </c>
      <c r="V70" s="406" t="str">
        <f t="shared" si="37"/>
        <v/>
      </c>
      <c r="W70" s="404" t="str">
        <f t="shared" si="38"/>
        <v/>
      </c>
      <c r="X70" s="403" t="str">
        <f t="shared" si="39"/>
        <v/>
      </c>
      <c r="Y70" s="405" t="str">
        <f t="shared" si="40"/>
        <v/>
      </c>
      <c r="Z70" s="406" t="str">
        <f t="shared" si="41"/>
        <v/>
      </c>
      <c r="AA70" s="404" t="str">
        <f t="shared" si="42"/>
        <v/>
      </c>
      <c r="AB70" s="403" t="str">
        <f t="shared" si="43"/>
        <v/>
      </c>
      <c r="AC70" s="405" t="str">
        <f t="shared" si="44"/>
        <v/>
      </c>
      <c r="AD70" s="406" t="str">
        <f t="shared" si="45"/>
        <v/>
      </c>
      <c r="AE70" s="404" t="str">
        <f t="shared" si="46"/>
        <v/>
      </c>
      <c r="AF70" s="403" t="str">
        <f t="shared" si="47"/>
        <v/>
      </c>
      <c r="AG70" s="405" t="str">
        <f t="shared" si="48"/>
        <v/>
      </c>
      <c r="AH70" s="406" t="str">
        <f t="shared" si="49"/>
        <v/>
      </c>
      <c r="AI70" s="404" t="str">
        <f t="shared" si="50"/>
        <v/>
      </c>
      <c r="AJ70" s="403" t="str">
        <f t="shared" si="51"/>
        <v/>
      </c>
      <c r="AK70" s="407" t="str">
        <f t="shared" si="52"/>
        <v/>
      </c>
      <c r="AL70" s="408" t="str">
        <f t="shared" si="53"/>
        <v/>
      </c>
      <c r="AM70" s="404" t="str">
        <f t="shared" si="54"/>
        <v/>
      </c>
      <c r="AN70" s="38"/>
    </row>
    <row r="71" spans="1:40" ht="12.75" x14ac:dyDescent="0.2">
      <c r="A71" s="26"/>
      <c r="B71" s="38"/>
      <c r="C71" s="296" t="s">
        <v>304</v>
      </c>
      <c r="D71" s="296" t="str">
        <f>IF('WK2 - Notional General Income'!C28="","",'WK2 - Notional General Income'!C28)</f>
        <v/>
      </c>
      <c r="E71" s="406" t="str">
        <f>IF('WK2 - Notional General Income'!L28="","",'WK2 - Notional General Income'!L28/'WK2 - Notional General Income'!D28)</f>
        <v/>
      </c>
      <c r="F71" s="406" t="str">
        <f>IF('WK3 - Notional GI 15-16 YIELD'!L26="","",'WK3 - Notional GI 15-16 YIELD'!L26/'WK3 - Notional GI 15-16 YIELD'!D26)</f>
        <v/>
      </c>
      <c r="G71" s="577"/>
      <c r="H71" s="577"/>
      <c r="I71" s="577"/>
      <c r="J71" s="577"/>
      <c r="K71" s="577"/>
      <c r="L71" s="577"/>
      <c r="M71" s="38"/>
      <c r="N71" s="403" t="str">
        <f t="shared" si="29"/>
        <v/>
      </c>
      <c r="O71" s="404" t="str">
        <f t="shared" si="30"/>
        <v/>
      </c>
      <c r="P71" s="403" t="str">
        <f t="shared" si="31"/>
        <v/>
      </c>
      <c r="Q71" s="405" t="str">
        <f t="shared" si="32"/>
        <v/>
      </c>
      <c r="R71" s="406" t="str">
        <f t="shared" si="33"/>
        <v/>
      </c>
      <c r="S71" s="404" t="str">
        <f t="shared" si="34"/>
        <v/>
      </c>
      <c r="T71" s="403" t="str">
        <f t="shared" si="35"/>
        <v/>
      </c>
      <c r="U71" s="405" t="str">
        <f t="shared" si="36"/>
        <v/>
      </c>
      <c r="V71" s="406" t="str">
        <f t="shared" si="37"/>
        <v/>
      </c>
      <c r="W71" s="404" t="str">
        <f t="shared" si="38"/>
        <v/>
      </c>
      <c r="X71" s="403" t="str">
        <f t="shared" si="39"/>
        <v/>
      </c>
      <c r="Y71" s="405" t="str">
        <f t="shared" si="40"/>
        <v/>
      </c>
      <c r="Z71" s="406" t="str">
        <f t="shared" si="41"/>
        <v/>
      </c>
      <c r="AA71" s="404" t="str">
        <f t="shared" si="42"/>
        <v/>
      </c>
      <c r="AB71" s="403" t="str">
        <f t="shared" si="43"/>
        <v/>
      </c>
      <c r="AC71" s="405" t="str">
        <f t="shared" si="44"/>
        <v/>
      </c>
      <c r="AD71" s="406" t="str">
        <f t="shared" si="45"/>
        <v/>
      </c>
      <c r="AE71" s="404" t="str">
        <f t="shared" si="46"/>
        <v/>
      </c>
      <c r="AF71" s="403" t="str">
        <f t="shared" si="47"/>
        <v/>
      </c>
      <c r="AG71" s="405" t="str">
        <f t="shared" si="48"/>
        <v/>
      </c>
      <c r="AH71" s="406" t="str">
        <f t="shared" si="49"/>
        <v/>
      </c>
      <c r="AI71" s="404" t="str">
        <f t="shared" si="50"/>
        <v/>
      </c>
      <c r="AJ71" s="403" t="str">
        <f t="shared" si="51"/>
        <v/>
      </c>
      <c r="AK71" s="407" t="str">
        <f t="shared" si="52"/>
        <v/>
      </c>
      <c r="AL71" s="408" t="str">
        <f t="shared" si="53"/>
        <v/>
      </c>
      <c r="AM71" s="404" t="str">
        <f t="shared" si="54"/>
        <v/>
      </c>
      <c r="AN71" s="38"/>
    </row>
    <row r="72" spans="1:40" ht="12.75" x14ac:dyDescent="0.2">
      <c r="A72" s="26"/>
      <c r="B72" s="38"/>
      <c r="C72" s="296" t="s">
        <v>304</v>
      </c>
      <c r="D72" s="296" t="str">
        <f>IF('WK2 - Notional General Income'!C29="","",'WK2 - Notional General Income'!C29)</f>
        <v/>
      </c>
      <c r="E72" s="406" t="str">
        <f>IF('WK2 - Notional General Income'!L29="","",'WK2 - Notional General Income'!L29/'WK2 - Notional General Income'!D29)</f>
        <v/>
      </c>
      <c r="F72" s="406" t="str">
        <f>IF('WK3 - Notional GI 15-16 YIELD'!L27="","",'WK3 - Notional GI 15-16 YIELD'!L27/'WK3 - Notional GI 15-16 YIELD'!D27)</f>
        <v/>
      </c>
      <c r="G72" s="577"/>
      <c r="H72" s="577"/>
      <c r="I72" s="577"/>
      <c r="J72" s="577"/>
      <c r="K72" s="577"/>
      <c r="L72" s="577"/>
      <c r="M72" s="38"/>
      <c r="N72" s="403" t="str">
        <f t="shared" si="29"/>
        <v/>
      </c>
      <c r="O72" s="404" t="str">
        <f t="shared" si="30"/>
        <v/>
      </c>
      <c r="P72" s="403" t="str">
        <f t="shared" si="31"/>
        <v/>
      </c>
      <c r="Q72" s="405" t="str">
        <f t="shared" si="32"/>
        <v/>
      </c>
      <c r="R72" s="406" t="str">
        <f t="shared" si="33"/>
        <v/>
      </c>
      <c r="S72" s="404" t="str">
        <f t="shared" si="34"/>
        <v/>
      </c>
      <c r="T72" s="403" t="str">
        <f t="shared" si="35"/>
        <v/>
      </c>
      <c r="U72" s="405" t="str">
        <f t="shared" si="36"/>
        <v/>
      </c>
      <c r="V72" s="406" t="str">
        <f t="shared" si="37"/>
        <v/>
      </c>
      <c r="W72" s="404" t="str">
        <f t="shared" si="38"/>
        <v/>
      </c>
      <c r="X72" s="403" t="str">
        <f t="shared" si="39"/>
        <v/>
      </c>
      <c r="Y72" s="405" t="str">
        <f t="shared" si="40"/>
        <v/>
      </c>
      <c r="Z72" s="406" t="str">
        <f t="shared" si="41"/>
        <v/>
      </c>
      <c r="AA72" s="404" t="str">
        <f t="shared" si="42"/>
        <v/>
      </c>
      <c r="AB72" s="403" t="str">
        <f t="shared" si="43"/>
        <v/>
      </c>
      <c r="AC72" s="405" t="str">
        <f t="shared" si="44"/>
        <v/>
      </c>
      <c r="AD72" s="406" t="str">
        <f t="shared" si="45"/>
        <v/>
      </c>
      <c r="AE72" s="404" t="str">
        <f t="shared" si="46"/>
        <v/>
      </c>
      <c r="AF72" s="403" t="str">
        <f t="shared" si="47"/>
        <v/>
      </c>
      <c r="AG72" s="405" t="str">
        <f t="shared" si="48"/>
        <v/>
      </c>
      <c r="AH72" s="406" t="str">
        <f t="shared" si="49"/>
        <v/>
      </c>
      <c r="AI72" s="404" t="str">
        <f t="shared" si="50"/>
        <v/>
      </c>
      <c r="AJ72" s="403" t="str">
        <f t="shared" si="51"/>
        <v/>
      </c>
      <c r="AK72" s="407" t="str">
        <f t="shared" si="52"/>
        <v/>
      </c>
      <c r="AL72" s="408" t="str">
        <f t="shared" si="53"/>
        <v/>
      </c>
      <c r="AM72" s="404" t="str">
        <f t="shared" si="54"/>
        <v/>
      </c>
      <c r="AN72" s="38"/>
    </row>
    <row r="73" spans="1:40" ht="12.75" x14ac:dyDescent="0.2">
      <c r="A73" s="26"/>
      <c r="B73" s="38"/>
      <c r="C73" s="296" t="s">
        <v>304</v>
      </c>
      <c r="D73" s="296" t="str">
        <f>IF('WK2 - Notional General Income'!C30="","",'WK2 - Notional General Income'!C30)</f>
        <v/>
      </c>
      <c r="E73" s="406" t="str">
        <f>IF('WK2 - Notional General Income'!L30="","",'WK2 - Notional General Income'!L30/'WK2 - Notional General Income'!D30)</f>
        <v/>
      </c>
      <c r="F73" s="406" t="str">
        <f>IF('WK3 - Notional GI 15-16 YIELD'!L28="","",'WK3 - Notional GI 15-16 YIELD'!L28/'WK3 - Notional GI 15-16 YIELD'!D28)</f>
        <v/>
      </c>
      <c r="G73" s="577"/>
      <c r="H73" s="577"/>
      <c r="I73" s="577"/>
      <c r="J73" s="577"/>
      <c r="K73" s="577"/>
      <c r="L73" s="577"/>
      <c r="M73" s="38"/>
      <c r="N73" s="403" t="str">
        <f t="shared" si="29"/>
        <v/>
      </c>
      <c r="O73" s="404" t="str">
        <f t="shared" si="30"/>
        <v/>
      </c>
      <c r="P73" s="403" t="str">
        <f t="shared" si="31"/>
        <v/>
      </c>
      <c r="Q73" s="405" t="str">
        <f t="shared" si="32"/>
        <v/>
      </c>
      <c r="R73" s="406" t="str">
        <f t="shared" si="33"/>
        <v/>
      </c>
      <c r="S73" s="404" t="str">
        <f t="shared" si="34"/>
        <v/>
      </c>
      <c r="T73" s="403" t="str">
        <f t="shared" si="35"/>
        <v/>
      </c>
      <c r="U73" s="405" t="str">
        <f t="shared" si="36"/>
        <v/>
      </c>
      <c r="V73" s="406" t="str">
        <f t="shared" si="37"/>
        <v/>
      </c>
      <c r="W73" s="404" t="str">
        <f t="shared" si="38"/>
        <v/>
      </c>
      <c r="X73" s="403" t="str">
        <f t="shared" si="39"/>
        <v/>
      </c>
      <c r="Y73" s="405" t="str">
        <f t="shared" si="40"/>
        <v/>
      </c>
      <c r="Z73" s="406" t="str">
        <f t="shared" si="41"/>
        <v/>
      </c>
      <c r="AA73" s="404" t="str">
        <f t="shared" si="42"/>
        <v/>
      </c>
      <c r="AB73" s="403" t="str">
        <f t="shared" si="43"/>
        <v/>
      </c>
      <c r="AC73" s="405" t="str">
        <f t="shared" si="44"/>
        <v/>
      </c>
      <c r="AD73" s="406" t="str">
        <f t="shared" si="45"/>
        <v/>
      </c>
      <c r="AE73" s="404" t="str">
        <f t="shared" si="46"/>
        <v/>
      </c>
      <c r="AF73" s="403" t="str">
        <f t="shared" si="47"/>
        <v/>
      </c>
      <c r="AG73" s="405" t="str">
        <f t="shared" si="48"/>
        <v/>
      </c>
      <c r="AH73" s="406" t="str">
        <f t="shared" si="49"/>
        <v/>
      </c>
      <c r="AI73" s="404" t="str">
        <f t="shared" si="50"/>
        <v/>
      </c>
      <c r="AJ73" s="403" t="str">
        <f t="shared" si="51"/>
        <v/>
      </c>
      <c r="AK73" s="407" t="str">
        <f t="shared" si="52"/>
        <v/>
      </c>
      <c r="AL73" s="408" t="str">
        <f t="shared" si="53"/>
        <v/>
      </c>
      <c r="AM73" s="404" t="str">
        <f t="shared" si="54"/>
        <v/>
      </c>
      <c r="AN73" s="38"/>
    </row>
    <row r="74" spans="1:40" ht="12.75" x14ac:dyDescent="0.2">
      <c r="A74" s="26"/>
      <c r="B74" s="38"/>
      <c r="C74" s="296" t="s">
        <v>304</v>
      </c>
      <c r="D74" s="296" t="str">
        <f>IF('WK2 - Notional General Income'!C31="","",'WK2 - Notional General Income'!C31)</f>
        <v/>
      </c>
      <c r="E74" s="406" t="str">
        <f>IF('WK2 - Notional General Income'!L31="","",'WK2 - Notional General Income'!L31/'WK2 - Notional General Income'!D31)</f>
        <v/>
      </c>
      <c r="F74" s="406" t="str">
        <f>IF('WK3 - Notional GI 15-16 YIELD'!L29="","",'WK3 - Notional GI 15-16 YIELD'!L29/'WK3 - Notional GI 15-16 YIELD'!D29)</f>
        <v/>
      </c>
      <c r="G74" s="577"/>
      <c r="H74" s="577"/>
      <c r="I74" s="577"/>
      <c r="J74" s="577"/>
      <c r="K74" s="577"/>
      <c r="L74" s="577"/>
      <c r="M74" s="38"/>
      <c r="N74" s="403" t="str">
        <f t="shared" si="29"/>
        <v/>
      </c>
      <c r="O74" s="404" t="str">
        <f t="shared" si="30"/>
        <v/>
      </c>
      <c r="P74" s="403" t="str">
        <f t="shared" si="31"/>
        <v/>
      </c>
      <c r="Q74" s="405" t="str">
        <f t="shared" si="32"/>
        <v/>
      </c>
      <c r="R74" s="406" t="str">
        <f t="shared" si="33"/>
        <v/>
      </c>
      <c r="S74" s="404" t="str">
        <f t="shared" si="34"/>
        <v/>
      </c>
      <c r="T74" s="403" t="str">
        <f t="shared" si="35"/>
        <v/>
      </c>
      <c r="U74" s="405" t="str">
        <f t="shared" si="36"/>
        <v/>
      </c>
      <c r="V74" s="406" t="str">
        <f t="shared" si="37"/>
        <v/>
      </c>
      <c r="W74" s="404" t="str">
        <f t="shared" si="38"/>
        <v/>
      </c>
      <c r="X74" s="403" t="str">
        <f t="shared" si="39"/>
        <v/>
      </c>
      <c r="Y74" s="405" t="str">
        <f t="shared" si="40"/>
        <v/>
      </c>
      <c r="Z74" s="406" t="str">
        <f t="shared" si="41"/>
        <v/>
      </c>
      <c r="AA74" s="404" t="str">
        <f t="shared" si="42"/>
        <v/>
      </c>
      <c r="AB74" s="403" t="str">
        <f t="shared" si="43"/>
        <v/>
      </c>
      <c r="AC74" s="405" t="str">
        <f t="shared" si="44"/>
        <v/>
      </c>
      <c r="AD74" s="406" t="str">
        <f t="shared" si="45"/>
        <v/>
      </c>
      <c r="AE74" s="404" t="str">
        <f t="shared" si="46"/>
        <v/>
      </c>
      <c r="AF74" s="403" t="str">
        <f t="shared" si="47"/>
        <v/>
      </c>
      <c r="AG74" s="405" t="str">
        <f t="shared" si="48"/>
        <v/>
      </c>
      <c r="AH74" s="406" t="str">
        <f t="shared" si="49"/>
        <v/>
      </c>
      <c r="AI74" s="404" t="str">
        <f t="shared" si="50"/>
        <v/>
      </c>
      <c r="AJ74" s="403" t="str">
        <f t="shared" si="51"/>
        <v/>
      </c>
      <c r="AK74" s="407" t="str">
        <f t="shared" si="52"/>
        <v/>
      </c>
      <c r="AL74" s="408" t="str">
        <f t="shared" si="53"/>
        <v/>
      </c>
      <c r="AM74" s="404" t="str">
        <f t="shared" si="54"/>
        <v/>
      </c>
      <c r="AN74" s="38"/>
    </row>
    <row r="75" spans="1:40" ht="12.75" x14ac:dyDescent="0.2">
      <c r="A75" s="26"/>
      <c r="B75" s="38"/>
      <c r="C75" s="296" t="s">
        <v>304</v>
      </c>
      <c r="D75" s="296" t="str">
        <f>IF('WK2 - Notional General Income'!C32="","",'WK2 - Notional General Income'!C32)</f>
        <v/>
      </c>
      <c r="E75" s="406" t="str">
        <f>IF('WK2 - Notional General Income'!L32="","",'WK2 - Notional General Income'!L32/'WK2 - Notional General Income'!D32)</f>
        <v/>
      </c>
      <c r="F75" s="406" t="str">
        <f>IF('WK3 - Notional GI 15-16 YIELD'!L30="","",'WK3 - Notional GI 15-16 YIELD'!L30/'WK3 - Notional GI 15-16 YIELD'!D30)</f>
        <v/>
      </c>
      <c r="G75" s="577"/>
      <c r="H75" s="577"/>
      <c r="I75" s="577"/>
      <c r="J75" s="577"/>
      <c r="K75" s="577"/>
      <c r="L75" s="577"/>
      <c r="M75" s="38"/>
      <c r="N75" s="403" t="str">
        <f t="shared" si="29"/>
        <v/>
      </c>
      <c r="O75" s="404" t="str">
        <f t="shared" si="30"/>
        <v/>
      </c>
      <c r="P75" s="403" t="str">
        <f t="shared" si="31"/>
        <v/>
      </c>
      <c r="Q75" s="405" t="str">
        <f t="shared" si="32"/>
        <v/>
      </c>
      <c r="R75" s="406" t="str">
        <f t="shared" si="33"/>
        <v/>
      </c>
      <c r="S75" s="404" t="str">
        <f t="shared" si="34"/>
        <v/>
      </c>
      <c r="T75" s="403" t="str">
        <f t="shared" si="35"/>
        <v/>
      </c>
      <c r="U75" s="405" t="str">
        <f t="shared" si="36"/>
        <v/>
      </c>
      <c r="V75" s="406" t="str">
        <f t="shared" si="37"/>
        <v/>
      </c>
      <c r="W75" s="404" t="str">
        <f t="shared" si="38"/>
        <v/>
      </c>
      <c r="X75" s="403" t="str">
        <f t="shared" si="39"/>
        <v/>
      </c>
      <c r="Y75" s="405" t="str">
        <f t="shared" si="40"/>
        <v/>
      </c>
      <c r="Z75" s="406" t="str">
        <f t="shared" si="41"/>
        <v/>
      </c>
      <c r="AA75" s="404" t="str">
        <f t="shared" si="42"/>
        <v/>
      </c>
      <c r="AB75" s="403" t="str">
        <f t="shared" si="43"/>
        <v/>
      </c>
      <c r="AC75" s="405" t="str">
        <f t="shared" si="44"/>
        <v/>
      </c>
      <c r="AD75" s="406" t="str">
        <f t="shared" si="45"/>
        <v/>
      </c>
      <c r="AE75" s="404" t="str">
        <f t="shared" si="46"/>
        <v/>
      </c>
      <c r="AF75" s="403" t="str">
        <f t="shared" si="47"/>
        <v/>
      </c>
      <c r="AG75" s="405" t="str">
        <f t="shared" si="48"/>
        <v/>
      </c>
      <c r="AH75" s="406" t="str">
        <f t="shared" si="49"/>
        <v/>
      </c>
      <c r="AI75" s="404" t="str">
        <f t="shared" si="50"/>
        <v/>
      </c>
      <c r="AJ75" s="403" t="str">
        <f t="shared" si="51"/>
        <v/>
      </c>
      <c r="AK75" s="407" t="str">
        <f t="shared" si="52"/>
        <v/>
      </c>
      <c r="AL75" s="408" t="str">
        <f t="shared" si="53"/>
        <v/>
      </c>
      <c r="AM75" s="404" t="str">
        <f t="shared" si="54"/>
        <v/>
      </c>
      <c r="AN75" s="38"/>
    </row>
    <row r="76" spans="1:40" ht="12.75" x14ac:dyDescent="0.2">
      <c r="A76" s="26"/>
      <c r="B76" s="38"/>
      <c r="C76" s="296" t="s">
        <v>304</v>
      </c>
      <c r="D76" s="296" t="str">
        <f>IF('WK2 - Notional General Income'!C33="","",'WK2 - Notional General Income'!C33)</f>
        <v/>
      </c>
      <c r="E76" s="406" t="str">
        <f>IF('WK2 - Notional General Income'!L33="","",'WK2 - Notional General Income'!L33/'WK2 - Notional General Income'!D33)</f>
        <v/>
      </c>
      <c r="F76" s="406" t="str">
        <f>IF('WK3 - Notional GI 15-16 YIELD'!L31="","",'WK3 - Notional GI 15-16 YIELD'!L31/'WK3 - Notional GI 15-16 YIELD'!D31)</f>
        <v/>
      </c>
      <c r="G76" s="577"/>
      <c r="H76" s="577"/>
      <c r="I76" s="577"/>
      <c r="J76" s="577"/>
      <c r="K76" s="577"/>
      <c r="L76" s="577"/>
      <c r="M76" s="38"/>
      <c r="N76" s="403" t="str">
        <f t="shared" si="29"/>
        <v/>
      </c>
      <c r="O76" s="404" t="str">
        <f t="shared" si="30"/>
        <v/>
      </c>
      <c r="P76" s="403" t="str">
        <f t="shared" si="31"/>
        <v/>
      </c>
      <c r="Q76" s="405" t="str">
        <f t="shared" si="32"/>
        <v/>
      </c>
      <c r="R76" s="406" t="str">
        <f t="shared" si="33"/>
        <v/>
      </c>
      <c r="S76" s="404" t="str">
        <f t="shared" si="34"/>
        <v/>
      </c>
      <c r="T76" s="403" t="str">
        <f t="shared" si="35"/>
        <v/>
      </c>
      <c r="U76" s="405" t="str">
        <f t="shared" si="36"/>
        <v/>
      </c>
      <c r="V76" s="406" t="str">
        <f t="shared" si="37"/>
        <v/>
      </c>
      <c r="W76" s="404" t="str">
        <f t="shared" si="38"/>
        <v/>
      </c>
      <c r="X76" s="403" t="str">
        <f t="shared" si="39"/>
        <v/>
      </c>
      <c r="Y76" s="405" t="str">
        <f t="shared" si="40"/>
        <v/>
      </c>
      <c r="Z76" s="406" t="str">
        <f t="shared" si="41"/>
        <v/>
      </c>
      <c r="AA76" s="404" t="str">
        <f t="shared" si="42"/>
        <v/>
      </c>
      <c r="AB76" s="403" t="str">
        <f t="shared" si="43"/>
        <v/>
      </c>
      <c r="AC76" s="405" t="str">
        <f t="shared" si="44"/>
        <v/>
      </c>
      <c r="AD76" s="406" t="str">
        <f t="shared" si="45"/>
        <v/>
      </c>
      <c r="AE76" s="404" t="str">
        <f t="shared" si="46"/>
        <v/>
      </c>
      <c r="AF76" s="403" t="str">
        <f t="shared" si="47"/>
        <v/>
      </c>
      <c r="AG76" s="405" t="str">
        <f t="shared" si="48"/>
        <v/>
      </c>
      <c r="AH76" s="406" t="str">
        <f t="shared" si="49"/>
        <v/>
      </c>
      <c r="AI76" s="404" t="str">
        <f t="shared" si="50"/>
        <v/>
      </c>
      <c r="AJ76" s="403" t="str">
        <f t="shared" si="51"/>
        <v/>
      </c>
      <c r="AK76" s="407" t="str">
        <f t="shared" si="52"/>
        <v/>
      </c>
      <c r="AL76" s="408" t="str">
        <f t="shared" si="53"/>
        <v/>
      </c>
      <c r="AM76" s="404" t="str">
        <f t="shared" si="54"/>
        <v/>
      </c>
      <c r="AN76" s="38"/>
    </row>
    <row r="77" spans="1:40" ht="12.75" x14ac:dyDescent="0.2">
      <c r="A77" s="26"/>
      <c r="B77" s="38"/>
      <c r="C77" s="296" t="s">
        <v>304</v>
      </c>
      <c r="D77" s="296" t="str">
        <f>IF('WK2 - Notional General Income'!C34="","",'WK2 - Notional General Income'!C34)</f>
        <v/>
      </c>
      <c r="E77" s="406" t="str">
        <f>IF('WK2 - Notional General Income'!L34="","",'WK2 - Notional General Income'!L34/'WK2 - Notional General Income'!D34)</f>
        <v/>
      </c>
      <c r="F77" s="406" t="str">
        <f>IF('WK3 - Notional GI 15-16 YIELD'!L32="","",'WK3 - Notional GI 15-16 YIELD'!L32/'WK3 - Notional GI 15-16 YIELD'!D32)</f>
        <v/>
      </c>
      <c r="G77" s="577"/>
      <c r="H77" s="577"/>
      <c r="I77" s="577"/>
      <c r="J77" s="577"/>
      <c r="K77" s="577"/>
      <c r="L77" s="577"/>
      <c r="M77" s="38"/>
      <c r="N77" s="403" t="str">
        <f t="shared" si="29"/>
        <v/>
      </c>
      <c r="O77" s="404" t="str">
        <f t="shared" si="30"/>
        <v/>
      </c>
      <c r="P77" s="403" t="str">
        <f t="shared" si="31"/>
        <v/>
      </c>
      <c r="Q77" s="405" t="str">
        <f t="shared" si="32"/>
        <v/>
      </c>
      <c r="R77" s="406" t="str">
        <f t="shared" si="33"/>
        <v/>
      </c>
      <c r="S77" s="404" t="str">
        <f t="shared" si="34"/>
        <v/>
      </c>
      <c r="T77" s="403" t="str">
        <f t="shared" si="35"/>
        <v/>
      </c>
      <c r="U77" s="405" t="str">
        <f t="shared" si="36"/>
        <v/>
      </c>
      <c r="V77" s="406" t="str">
        <f t="shared" si="37"/>
        <v/>
      </c>
      <c r="W77" s="404" t="str">
        <f t="shared" si="38"/>
        <v/>
      </c>
      <c r="X77" s="403" t="str">
        <f t="shared" si="39"/>
        <v/>
      </c>
      <c r="Y77" s="405" t="str">
        <f t="shared" si="40"/>
        <v/>
      </c>
      <c r="Z77" s="406" t="str">
        <f t="shared" si="41"/>
        <v/>
      </c>
      <c r="AA77" s="404" t="str">
        <f t="shared" si="42"/>
        <v/>
      </c>
      <c r="AB77" s="403" t="str">
        <f t="shared" si="43"/>
        <v/>
      </c>
      <c r="AC77" s="405" t="str">
        <f t="shared" si="44"/>
        <v/>
      </c>
      <c r="AD77" s="406" t="str">
        <f t="shared" si="45"/>
        <v/>
      </c>
      <c r="AE77" s="404" t="str">
        <f t="shared" si="46"/>
        <v/>
      </c>
      <c r="AF77" s="403" t="str">
        <f t="shared" si="47"/>
        <v/>
      </c>
      <c r="AG77" s="405" t="str">
        <f t="shared" si="48"/>
        <v/>
      </c>
      <c r="AH77" s="406" t="str">
        <f t="shared" si="49"/>
        <v/>
      </c>
      <c r="AI77" s="404" t="str">
        <f t="shared" si="50"/>
        <v/>
      </c>
      <c r="AJ77" s="403" t="str">
        <f t="shared" si="51"/>
        <v/>
      </c>
      <c r="AK77" s="407" t="str">
        <f t="shared" si="52"/>
        <v/>
      </c>
      <c r="AL77" s="408" t="str">
        <f t="shared" si="53"/>
        <v/>
      </c>
      <c r="AM77" s="404" t="str">
        <f t="shared" si="54"/>
        <v/>
      </c>
      <c r="AN77" s="38"/>
    </row>
    <row r="78" spans="1:40" ht="12.75" x14ac:dyDescent="0.2">
      <c r="A78" s="26"/>
      <c r="B78" s="38"/>
      <c r="C78" s="296" t="s">
        <v>637</v>
      </c>
      <c r="D78" s="296" t="str">
        <f>IF('WK2 - Notional General Income'!C93="","",'WK2 - Notional General Income'!C93)</f>
        <v>Jerberra Rezoning Special Rate</v>
      </c>
      <c r="E78" s="406">
        <f>IF('WK2 - Notional General Income'!L93="","",'WK2 - Notional General Income'!L93/'WK2 - Notional General Income'!D93)</f>
        <v>341.15533915966387</v>
      </c>
      <c r="F78" s="406">
        <f>IF('WK3 - Notional GI 15-16 YIELD'!L91="","",'WK3 - Notional GI 15-16 YIELD'!L91/'WK3 - Notional GI 15-16 YIELD'!D91)</f>
        <v>361.49413050991302</v>
      </c>
      <c r="G78" s="577">
        <f t="shared" ref="G78:L78" si="55">+F78*1.03</f>
        <v>372.33895442521043</v>
      </c>
      <c r="H78" s="577">
        <f t="shared" si="55"/>
        <v>383.50912305796675</v>
      </c>
      <c r="I78" s="577">
        <f t="shared" si="55"/>
        <v>395.01439674970578</v>
      </c>
      <c r="J78" s="577">
        <f t="shared" si="55"/>
        <v>406.86482865219699</v>
      </c>
      <c r="K78" s="577">
        <f t="shared" si="55"/>
        <v>419.07077351176292</v>
      </c>
      <c r="L78" s="577">
        <f t="shared" si="55"/>
        <v>431.64289671711583</v>
      </c>
      <c r="M78" s="38"/>
      <c r="N78" s="403">
        <f t="shared" si="29"/>
        <v>20.338791350249153</v>
      </c>
      <c r="O78" s="404">
        <f t="shared" si="30"/>
        <v>5.9617391304347754E-2</v>
      </c>
      <c r="P78" s="403">
        <f t="shared" si="31"/>
        <v>10.844823915297411</v>
      </c>
      <c r="Q78" s="405">
        <f t="shared" si="32"/>
        <v>3.0000000000000058E-2</v>
      </c>
      <c r="R78" s="406">
        <f t="shared" si="33"/>
        <v>31.183615265546564</v>
      </c>
      <c r="S78" s="404">
        <f t="shared" si="34"/>
        <v>9.140591304347824E-2</v>
      </c>
      <c r="T78" s="403">
        <f t="shared" si="35"/>
        <v>11.170168632756315</v>
      </c>
      <c r="U78" s="405">
        <f t="shared" si="36"/>
        <v>3.0000000000000006E-2</v>
      </c>
      <c r="V78" s="406">
        <f t="shared" si="37"/>
        <v>42.353783898302879</v>
      </c>
      <c r="W78" s="404">
        <f t="shared" si="38"/>
        <v>0.1241480904347826</v>
      </c>
      <c r="X78" s="403">
        <f t="shared" si="39"/>
        <v>11.505273691739035</v>
      </c>
      <c r="Y78" s="405">
        <f t="shared" si="40"/>
        <v>3.0000000000000086E-2</v>
      </c>
      <c r="Z78" s="406">
        <f t="shared" si="41"/>
        <v>53.859057590041914</v>
      </c>
      <c r="AA78" s="404">
        <f t="shared" si="42"/>
        <v>0.15787253314782618</v>
      </c>
      <c r="AB78" s="403">
        <f t="shared" si="43"/>
        <v>11.850431902491209</v>
      </c>
      <c r="AC78" s="405">
        <f t="shared" si="44"/>
        <v>3.0000000000000089E-2</v>
      </c>
      <c r="AD78" s="406">
        <f t="shared" si="45"/>
        <v>65.709489492533123</v>
      </c>
      <c r="AE78" s="404">
        <f t="shared" si="46"/>
        <v>0.19260870914226105</v>
      </c>
      <c r="AF78" s="403">
        <f t="shared" si="47"/>
        <v>12.205944859565932</v>
      </c>
      <c r="AG78" s="405">
        <f t="shared" si="48"/>
        <v>3.0000000000000054E-2</v>
      </c>
      <c r="AH78" s="406">
        <f t="shared" si="49"/>
        <v>77.915434352099055</v>
      </c>
      <c r="AI78" s="404">
        <f t="shared" si="50"/>
        <v>0.22838697041652894</v>
      </c>
      <c r="AJ78" s="403">
        <f t="shared" si="51"/>
        <v>12.572123205352909</v>
      </c>
      <c r="AK78" s="407">
        <f t="shared" si="52"/>
        <v>3.0000000000000051E-2</v>
      </c>
      <c r="AL78" s="408">
        <f t="shared" si="53"/>
        <v>90.487557557451964</v>
      </c>
      <c r="AM78" s="404">
        <f t="shared" si="54"/>
        <v>0.26523857952902491</v>
      </c>
      <c r="AN78" s="38"/>
    </row>
    <row r="79" spans="1:40" ht="12.75" x14ac:dyDescent="0.2">
      <c r="A79" s="26"/>
      <c r="B79" s="38"/>
      <c r="C79" s="296" t="s">
        <v>637</v>
      </c>
      <c r="D79" s="296" t="str">
        <f>IF('WK2 - Notional General Income'!C94="","",'WK2 - Notional General Income'!C94)</f>
        <v>Jerberra Road Design Special Rate</v>
      </c>
      <c r="E79" s="406">
        <f>IF('WK2 - Notional General Income'!L94="","",'WK2 - Notional General Income'!L94/'WK2 - Notional General Income'!D94)</f>
        <v>179.37866549999998</v>
      </c>
      <c r="F79" s="406">
        <f>IF('WK3 - Notional GI 15-16 YIELD'!L92="","",'WK3 - Notional GI 15-16 YIELD'!L92/'WK3 - Notional GI 15-16 YIELD'!D92)</f>
        <v>190.01767600551722</v>
      </c>
      <c r="G79" s="577">
        <f t="shared" ref="G79:L79" si="56">+F79*1.03</f>
        <v>195.71820628568273</v>
      </c>
      <c r="H79" s="577">
        <f t="shared" si="56"/>
        <v>201.5897524742532</v>
      </c>
      <c r="I79" s="577">
        <f t="shared" si="56"/>
        <v>207.6374450484808</v>
      </c>
      <c r="J79" s="577">
        <f t="shared" si="56"/>
        <v>213.86656839993523</v>
      </c>
      <c r="K79" s="577">
        <f t="shared" si="56"/>
        <v>220.28256545193329</v>
      </c>
      <c r="L79" s="577">
        <f t="shared" si="56"/>
        <v>226.89104241549131</v>
      </c>
      <c r="M79" s="38"/>
      <c r="N79" s="403">
        <f t="shared" si="29"/>
        <v>10.639010505517234</v>
      </c>
      <c r="O79" s="404">
        <f t="shared" si="30"/>
        <v>5.9310344827586174E-2</v>
      </c>
      <c r="P79" s="403">
        <f t="shared" si="31"/>
        <v>5.7005302801655091</v>
      </c>
      <c r="Q79" s="405">
        <f t="shared" si="32"/>
        <v>2.9999999999999961E-2</v>
      </c>
      <c r="R79" s="406">
        <f t="shared" si="33"/>
        <v>16.339540785682743</v>
      </c>
      <c r="S79" s="404">
        <f t="shared" si="34"/>
        <v>9.1089655172413714E-2</v>
      </c>
      <c r="T79" s="403">
        <f t="shared" si="35"/>
        <v>5.8715461885704769</v>
      </c>
      <c r="U79" s="405">
        <f t="shared" si="36"/>
        <v>2.9999999999999975E-2</v>
      </c>
      <c r="V79" s="406">
        <f t="shared" si="37"/>
        <v>22.21108697425322</v>
      </c>
      <c r="W79" s="404">
        <f t="shared" si="38"/>
        <v>0.1238223448275861</v>
      </c>
      <c r="X79" s="403">
        <f t="shared" si="39"/>
        <v>6.0476925742275967</v>
      </c>
      <c r="Y79" s="405">
        <f t="shared" si="40"/>
        <v>3.0000000000000002E-2</v>
      </c>
      <c r="Z79" s="406">
        <f t="shared" si="41"/>
        <v>28.258779548480817</v>
      </c>
      <c r="AA79" s="404">
        <f t="shared" si="42"/>
        <v>0.1575370151724137</v>
      </c>
      <c r="AB79" s="403">
        <f t="shared" si="43"/>
        <v>6.2291233514544331</v>
      </c>
      <c r="AC79" s="405">
        <f t="shared" si="44"/>
        <v>3.0000000000000044E-2</v>
      </c>
      <c r="AD79" s="406">
        <f t="shared" si="45"/>
        <v>34.48790289993525</v>
      </c>
      <c r="AE79" s="404">
        <f t="shared" si="46"/>
        <v>0.19226312562758616</v>
      </c>
      <c r="AF79" s="403">
        <f t="shared" si="47"/>
        <v>6.4159970519980618</v>
      </c>
      <c r="AG79" s="405">
        <f t="shared" si="48"/>
        <v>3.0000000000000023E-2</v>
      </c>
      <c r="AH79" s="406">
        <f t="shared" si="49"/>
        <v>40.903899951933312</v>
      </c>
      <c r="AI79" s="404">
        <f t="shared" si="50"/>
        <v>0.22803101939641376</v>
      </c>
      <c r="AJ79" s="403">
        <f t="shared" si="51"/>
        <v>6.6084769635580187</v>
      </c>
      <c r="AK79" s="407">
        <f t="shared" si="52"/>
        <v>3.0000000000000089E-2</v>
      </c>
      <c r="AL79" s="408">
        <f t="shared" si="53"/>
        <v>47.51237691549133</v>
      </c>
      <c r="AM79" s="404">
        <f t="shared" si="54"/>
        <v>0.26487194997830626</v>
      </c>
      <c r="AN79" s="38"/>
    </row>
    <row r="80" spans="1:40" ht="12.75" x14ac:dyDescent="0.2">
      <c r="A80" s="26"/>
      <c r="B80" s="38"/>
      <c r="C80" s="296" t="s">
        <v>637</v>
      </c>
      <c r="D80" s="296" t="str">
        <f>IF('WK2 - Notional General Income'!C95="","",'WK2 - Notional General Income'!C95)</f>
        <v>Jerberra Road Construction Special Rate</v>
      </c>
      <c r="E80" s="406">
        <f>IF('WK2 - Notional General Income'!L95="","",'WK2 - Notional General Income'!L95/'WK2 - Notional General Income'!D95)</f>
        <v>291.99787149999997</v>
      </c>
      <c r="F80" s="406">
        <f>IF('WK3 - Notional GI 15-16 YIELD'!L93="","",'WK3 - Notional GI 15-16 YIELD'!L93/'WK3 - Notional GI 15-16 YIELD'!D93)</f>
        <v>309.31636594758618</v>
      </c>
      <c r="G80" s="577">
        <f t="shared" ref="G80:L80" si="57">+F80*1.03</f>
        <v>318.59585692601377</v>
      </c>
      <c r="H80" s="577">
        <f t="shared" si="57"/>
        <v>328.15373263379416</v>
      </c>
      <c r="I80" s="577">
        <f t="shared" si="57"/>
        <v>337.99834461280801</v>
      </c>
      <c r="J80" s="577">
        <f t="shared" si="57"/>
        <v>348.13829495119228</v>
      </c>
      <c r="K80" s="577">
        <f t="shared" si="57"/>
        <v>358.58244379972808</v>
      </c>
      <c r="L80" s="577">
        <f t="shared" si="57"/>
        <v>369.33991711371993</v>
      </c>
      <c r="M80" s="38"/>
      <c r="N80" s="403">
        <f t="shared" si="29"/>
        <v>17.318494447586204</v>
      </c>
      <c r="O80" s="404">
        <f t="shared" si="30"/>
        <v>5.9310344827586202E-2</v>
      </c>
      <c r="P80" s="403">
        <f t="shared" si="31"/>
        <v>9.2794909784275887</v>
      </c>
      <c r="Q80" s="405">
        <f t="shared" si="32"/>
        <v>3.0000000000000009E-2</v>
      </c>
      <c r="R80" s="406">
        <f t="shared" si="33"/>
        <v>26.597985426013793</v>
      </c>
      <c r="S80" s="404">
        <f t="shared" si="34"/>
        <v>9.1089655172413797E-2</v>
      </c>
      <c r="T80" s="403">
        <f t="shared" si="35"/>
        <v>9.5578757077803971</v>
      </c>
      <c r="U80" s="405">
        <f t="shared" si="36"/>
        <v>2.999999999999995E-2</v>
      </c>
      <c r="V80" s="406">
        <f t="shared" si="37"/>
        <v>36.15586113379419</v>
      </c>
      <c r="W80" s="404">
        <f t="shared" si="38"/>
        <v>0.12382234482758615</v>
      </c>
      <c r="X80" s="403">
        <f t="shared" si="39"/>
        <v>9.8446119790138482</v>
      </c>
      <c r="Y80" s="405">
        <f t="shared" si="40"/>
        <v>3.0000000000000072E-2</v>
      </c>
      <c r="Z80" s="406">
        <f t="shared" si="41"/>
        <v>46.000473112808038</v>
      </c>
      <c r="AA80" s="404">
        <f t="shared" si="42"/>
        <v>0.15753701517241384</v>
      </c>
      <c r="AB80" s="403">
        <f t="shared" si="43"/>
        <v>10.139950338384267</v>
      </c>
      <c r="AC80" s="405">
        <f t="shared" si="44"/>
        <v>3.0000000000000079E-2</v>
      </c>
      <c r="AD80" s="406">
        <f t="shared" si="45"/>
        <v>56.140423451192305</v>
      </c>
      <c r="AE80" s="404">
        <f t="shared" si="46"/>
        <v>0.19226312562758632</v>
      </c>
      <c r="AF80" s="403">
        <f t="shared" si="47"/>
        <v>10.444148848535804</v>
      </c>
      <c r="AG80" s="405">
        <f t="shared" si="48"/>
        <v>3.00000000000001E-2</v>
      </c>
      <c r="AH80" s="406">
        <f t="shared" si="49"/>
        <v>66.584572299728109</v>
      </c>
      <c r="AI80" s="404">
        <f t="shared" si="50"/>
        <v>0.22803101939641404</v>
      </c>
      <c r="AJ80" s="403">
        <f t="shared" si="51"/>
        <v>10.757473313991852</v>
      </c>
      <c r="AK80" s="407">
        <f t="shared" si="52"/>
        <v>3.0000000000000027E-2</v>
      </c>
      <c r="AL80" s="408">
        <f t="shared" si="53"/>
        <v>77.342045613719961</v>
      </c>
      <c r="AM80" s="404">
        <f t="shared" si="54"/>
        <v>0.26487194997830649</v>
      </c>
      <c r="AN80" s="38"/>
    </row>
    <row r="81" spans="1:40" ht="12.75" x14ac:dyDescent="0.2">
      <c r="A81" s="26"/>
      <c r="B81" s="38"/>
      <c r="C81" s="296" t="s">
        <v>637</v>
      </c>
      <c r="D81" s="296" t="str">
        <f>IF('WK2 - Notional General Income'!C96="","",'WK2 - Notional General Income'!C96)</f>
        <v>Verons Rezoning Special Rate</v>
      </c>
      <c r="E81" s="406">
        <f>IF('WK2 - Notional General Income'!L96="","",'WK2 - Notional General Income'!L96/'WK2 - Notional General Income'!D96)</f>
        <v>670.56</v>
      </c>
      <c r="F81" s="406">
        <f>IF('WK3 - Notional GI 15-16 YIELD'!L94="","",'WK3 - Notional GI 15-16 YIELD'!L94/'WK3 - Notional GI 15-16 YIELD'!D94)</f>
        <v>686.65344000000005</v>
      </c>
      <c r="G81" s="577">
        <f t="shared" ref="G81:L81" si="58">+F81*1.03</f>
        <v>707.25304320000009</v>
      </c>
      <c r="H81" s="577">
        <f t="shared" si="58"/>
        <v>728.47063449600012</v>
      </c>
      <c r="I81" s="577">
        <f t="shared" si="58"/>
        <v>750.32475353088012</v>
      </c>
      <c r="J81" s="577">
        <f t="shared" si="58"/>
        <v>772.83449613680659</v>
      </c>
      <c r="K81" s="577">
        <f t="shared" si="58"/>
        <v>796.01953102091079</v>
      </c>
      <c r="L81" s="577">
        <f t="shared" si="58"/>
        <v>819.90011695153817</v>
      </c>
      <c r="M81" s="38"/>
      <c r="N81" s="403">
        <f t="shared" si="29"/>
        <v>16.093440000000101</v>
      </c>
      <c r="O81" s="404">
        <f t="shared" si="30"/>
        <v>2.4000000000000153E-2</v>
      </c>
      <c r="P81" s="403">
        <f t="shared" si="31"/>
        <v>20.599603200000047</v>
      </c>
      <c r="Q81" s="405">
        <f t="shared" si="32"/>
        <v>3.0000000000000065E-2</v>
      </c>
      <c r="R81" s="406">
        <f t="shared" si="33"/>
        <v>36.693043200000147</v>
      </c>
      <c r="S81" s="404">
        <f t="shared" si="34"/>
        <v>5.4720000000000227E-2</v>
      </c>
      <c r="T81" s="403">
        <f t="shared" si="35"/>
        <v>21.217591296000023</v>
      </c>
      <c r="U81" s="405">
        <f t="shared" si="36"/>
        <v>3.000000000000003E-2</v>
      </c>
      <c r="V81" s="406">
        <f t="shared" si="37"/>
        <v>57.910634496000171</v>
      </c>
      <c r="W81" s="404">
        <f t="shared" si="38"/>
        <v>8.636160000000026E-2</v>
      </c>
      <c r="X81" s="403">
        <f t="shared" si="39"/>
        <v>21.85411903488</v>
      </c>
      <c r="Y81" s="405">
        <f t="shared" si="40"/>
        <v>2.9999999999999995E-2</v>
      </c>
      <c r="Z81" s="406">
        <f t="shared" si="41"/>
        <v>79.764753530880171</v>
      </c>
      <c r="AA81" s="404">
        <f t="shared" si="42"/>
        <v>0.11895244800000027</v>
      </c>
      <c r="AB81" s="403">
        <f t="shared" si="43"/>
        <v>22.509742605926476</v>
      </c>
      <c r="AC81" s="405">
        <f t="shared" si="44"/>
        <v>3.0000000000000096E-2</v>
      </c>
      <c r="AD81" s="406">
        <f t="shared" si="45"/>
        <v>102.27449613680665</v>
      </c>
      <c r="AE81" s="404">
        <f t="shared" si="46"/>
        <v>0.15252102144000038</v>
      </c>
      <c r="AF81" s="403">
        <f t="shared" si="47"/>
        <v>23.185034884104198</v>
      </c>
      <c r="AG81" s="405">
        <f t="shared" si="48"/>
        <v>0.03</v>
      </c>
      <c r="AH81" s="406">
        <f t="shared" si="49"/>
        <v>125.45953102091084</v>
      </c>
      <c r="AI81" s="404">
        <f t="shared" si="50"/>
        <v>0.18709665208320039</v>
      </c>
      <c r="AJ81" s="403">
        <f t="shared" si="51"/>
        <v>23.880585930627376</v>
      </c>
      <c r="AK81" s="407">
        <f t="shared" si="52"/>
        <v>3.0000000000000065E-2</v>
      </c>
      <c r="AL81" s="408">
        <f t="shared" si="53"/>
        <v>149.34011695153822</v>
      </c>
      <c r="AM81" s="404">
        <f t="shared" si="54"/>
        <v>0.22270955164569647</v>
      </c>
      <c r="AN81" s="38"/>
    </row>
    <row r="82" spans="1:40" ht="12.75" x14ac:dyDescent="0.2">
      <c r="A82" s="26"/>
      <c r="B82" s="38"/>
      <c r="C82" s="296" t="s">
        <v>637</v>
      </c>
      <c r="D82" s="296" t="str">
        <f>IF('WK2 - Notional General Income'!C97="","",'WK2 - Notional General Income'!C97)</f>
        <v>Verons Road Design Special Rate</v>
      </c>
      <c r="E82" s="406">
        <f>IF('WK2 - Notional General Income'!L97="","",'WK2 - Notional General Income'!L97/'WK2 - Notional General Income'!D97)</f>
        <v>256.14999999999998</v>
      </c>
      <c r="F82" s="406">
        <f>IF('WK3 - Notional GI 15-16 YIELD'!L95="","",'WK3 - Notional GI 15-16 YIELD'!L95/'WK3 - Notional GI 15-16 YIELD'!D95)</f>
        <v>262.29759999999999</v>
      </c>
      <c r="G82" s="577">
        <f t="shared" ref="G82:L82" si="59">+F82*1.03</f>
        <v>270.16652799999997</v>
      </c>
      <c r="H82" s="577">
        <f t="shared" si="59"/>
        <v>278.27152383999999</v>
      </c>
      <c r="I82" s="577">
        <f t="shared" si="59"/>
        <v>286.61966955520001</v>
      </c>
      <c r="J82" s="577">
        <f t="shared" si="59"/>
        <v>295.21825964185604</v>
      </c>
      <c r="K82" s="577">
        <f t="shared" si="59"/>
        <v>304.07480743111171</v>
      </c>
      <c r="L82" s="577">
        <f t="shared" si="59"/>
        <v>313.19705165404508</v>
      </c>
      <c r="M82" s="38"/>
      <c r="N82" s="403">
        <f t="shared" si="29"/>
        <v>6.1476000000000113</v>
      </c>
      <c r="O82" s="404">
        <f t="shared" si="30"/>
        <v>2.4000000000000046E-2</v>
      </c>
      <c r="P82" s="403">
        <f t="shared" si="31"/>
        <v>7.8689279999999826</v>
      </c>
      <c r="Q82" s="405">
        <f t="shared" si="32"/>
        <v>2.9999999999999936E-2</v>
      </c>
      <c r="R82" s="406">
        <f t="shared" si="33"/>
        <v>14.016527999999994</v>
      </c>
      <c r="S82" s="404">
        <f t="shared" si="34"/>
        <v>5.4719999999999984E-2</v>
      </c>
      <c r="T82" s="403">
        <f t="shared" si="35"/>
        <v>8.1049958400000151</v>
      </c>
      <c r="U82" s="405">
        <f t="shared" si="36"/>
        <v>3.0000000000000058E-2</v>
      </c>
      <c r="V82" s="406">
        <f t="shared" si="37"/>
        <v>22.121523840000009</v>
      </c>
      <c r="W82" s="404">
        <f t="shared" si="38"/>
        <v>8.6361600000000038E-2</v>
      </c>
      <c r="X82" s="403">
        <f t="shared" si="39"/>
        <v>8.3481457152000189</v>
      </c>
      <c r="Y82" s="405">
        <f t="shared" si="40"/>
        <v>3.0000000000000068E-2</v>
      </c>
      <c r="Z82" s="406">
        <f t="shared" si="41"/>
        <v>30.469669555200028</v>
      </c>
      <c r="AA82" s="404">
        <f t="shared" si="42"/>
        <v>0.11895244800000011</v>
      </c>
      <c r="AB82" s="403">
        <f t="shared" si="43"/>
        <v>8.5985900866560314</v>
      </c>
      <c r="AC82" s="405">
        <f t="shared" si="44"/>
        <v>3.000000000000011E-2</v>
      </c>
      <c r="AD82" s="406">
        <f t="shared" si="45"/>
        <v>39.068259641856059</v>
      </c>
      <c r="AE82" s="404">
        <f t="shared" si="46"/>
        <v>0.15252102144000024</v>
      </c>
      <c r="AF82" s="403">
        <f t="shared" si="47"/>
        <v>8.8565477892556714</v>
      </c>
      <c r="AG82" s="405">
        <f t="shared" si="48"/>
        <v>2.9999999999999968E-2</v>
      </c>
      <c r="AH82" s="406">
        <f t="shared" si="49"/>
        <v>47.924807431111731</v>
      </c>
      <c r="AI82" s="404">
        <f t="shared" si="50"/>
        <v>0.18709665208320023</v>
      </c>
      <c r="AJ82" s="403">
        <f t="shared" si="51"/>
        <v>9.1222442229333751</v>
      </c>
      <c r="AK82" s="407">
        <f t="shared" si="52"/>
        <v>3.0000000000000079E-2</v>
      </c>
      <c r="AL82" s="408">
        <f t="shared" si="53"/>
        <v>57.047051654045106</v>
      </c>
      <c r="AM82" s="404">
        <f t="shared" si="54"/>
        <v>0.22270955164569631</v>
      </c>
      <c r="AN82" s="38"/>
    </row>
    <row r="83" spans="1:40" ht="12.75" x14ac:dyDescent="0.2">
      <c r="A83" s="26"/>
      <c r="B83" s="38"/>
      <c r="C83" s="296" t="s">
        <v>637</v>
      </c>
      <c r="D83" s="296" t="str">
        <f>IF('WK2 - Notional General Income'!C98="","",'WK2 - Notional General Income'!C98)</f>
        <v>Verons Road Construction Special Rate</v>
      </c>
      <c r="E83" s="406">
        <f>IF('WK2 - Notional General Income'!L98="","",'WK2 - Notional General Income'!L98/'WK2 - Notional General Income'!D98)</f>
        <v>773.61</v>
      </c>
      <c r="F83" s="406">
        <f>IF('WK3 - Notional GI 15-16 YIELD'!L96="","",'WK3 - Notional GI 15-16 YIELD'!L96/'WK3 - Notional GI 15-16 YIELD'!D96)</f>
        <v>792.17664000000002</v>
      </c>
      <c r="G83" s="577">
        <f t="shared" ref="G83:L83" si="60">+F83*1.03</f>
        <v>815.94193920000009</v>
      </c>
      <c r="H83" s="577">
        <f t="shared" si="60"/>
        <v>840.42019737600015</v>
      </c>
      <c r="I83" s="577">
        <f t="shared" si="60"/>
        <v>865.63280329728013</v>
      </c>
      <c r="J83" s="577">
        <f t="shared" si="60"/>
        <v>891.60178739619857</v>
      </c>
      <c r="K83" s="577">
        <f t="shared" si="60"/>
        <v>918.34984101808459</v>
      </c>
      <c r="L83" s="577">
        <f t="shared" si="60"/>
        <v>945.90033624862713</v>
      </c>
      <c r="M83" s="38"/>
      <c r="N83" s="403">
        <f t="shared" si="29"/>
        <v>18.566640000000007</v>
      </c>
      <c r="O83" s="404">
        <f t="shared" si="30"/>
        <v>2.4000000000000007E-2</v>
      </c>
      <c r="P83" s="403">
        <f t="shared" si="31"/>
        <v>23.765299200000072</v>
      </c>
      <c r="Q83" s="405">
        <f t="shared" si="32"/>
        <v>3.0000000000000089E-2</v>
      </c>
      <c r="R83" s="406">
        <f t="shared" si="33"/>
        <v>42.331939200000079</v>
      </c>
      <c r="S83" s="404">
        <f t="shared" si="34"/>
        <v>5.4720000000000102E-2</v>
      </c>
      <c r="T83" s="403">
        <f t="shared" si="35"/>
        <v>24.478258176000054</v>
      </c>
      <c r="U83" s="405">
        <f t="shared" si="36"/>
        <v>3.0000000000000061E-2</v>
      </c>
      <c r="V83" s="406">
        <f t="shared" si="37"/>
        <v>66.810197376000133</v>
      </c>
      <c r="W83" s="404">
        <f t="shared" si="38"/>
        <v>8.6361600000000177E-2</v>
      </c>
      <c r="X83" s="403">
        <f t="shared" si="39"/>
        <v>25.212605921279987</v>
      </c>
      <c r="Y83" s="405">
        <f t="shared" si="40"/>
        <v>2.9999999999999978E-2</v>
      </c>
      <c r="Z83" s="406">
        <f t="shared" si="41"/>
        <v>92.02280329728012</v>
      </c>
      <c r="AA83" s="404">
        <f t="shared" si="42"/>
        <v>0.11895244800000015</v>
      </c>
      <c r="AB83" s="403">
        <f t="shared" si="43"/>
        <v>25.96898409891844</v>
      </c>
      <c r="AC83" s="405">
        <f t="shared" si="44"/>
        <v>3.0000000000000041E-2</v>
      </c>
      <c r="AD83" s="406">
        <f t="shared" si="45"/>
        <v>117.99178739619856</v>
      </c>
      <c r="AE83" s="404">
        <f t="shared" si="46"/>
        <v>0.15252102144000021</v>
      </c>
      <c r="AF83" s="403">
        <f t="shared" si="47"/>
        <v>26.748053621886015</v>
      </c>
      <c r="AG83" s="405">
        <f t="shared" si="48"/>
        <v>3.0000000000000065E-2</v>
      </c>
      <c r="AH83" s="406">
        <f t="shared" si="49"/>
        <v>144.73984101808458</v>
      </c>
      <c r="AI83" s="404">
        <f t="shared" si="50"/>
        <v>0.18709665208320028</v>
      </c>
      <c r="AJ83" s="403">
        <f t="shared" si="51"/>
        <v>27.550495230542538</v>
      </c>
      <c r="AK83" s="407">
        <f t="shared" si="52"/>
        <v>0.03</v>
      </c>
      <c r="AL83" s="408">
        <f t="shared" si="53"/>
        <v>172.29033624862711</v>
      </c>
      <c r="AM83" s="404">
        <f t="shared" si="54"/>
        <v>0.22270955164569631</v>
      </c>
      <c r="AN83" s="38"/>
    </row>
    <row r="84" spans="1:40" ht="12.75" x14ac:dyDescent="0.2">
      <c r="A84" s="26"/>
      <c r="B84" s="38"/>
      <c r="C84" s="296" t="s">
        <v>637</v>
      </c>
      <c r="D84" s="296" t="str">
        <f>IF('WK2 - Notional General Income'!C99="","",'WK2 - Notional General Income'!C99)</f>
        <v>Nebraska Rezoning Special Rate</v>
      </c>
      <c r="E84" s="406">
        <f>IF('WK2 - Notional General Income'!L99="","",'WK2 - Notional General Income'!L99/'WK2 - Notional General Income'!D99)</f>
        <v>541.83375999999998</v>
      </c>
      <c r="F84" s="406">
        <f>IF('WK3 - Notional GI 15-16 YIELD'!L97="","",'WK3 - Notional GI 15-16 YIELD'!L97/'WK3 - Notional GI 15-16 YIELD'!D97)</f>
        <v>554.83777023999994</v>
      </c>
      <c r="G84" s="577">
        <f t="shared" ref="G84:L84" si="61">+F84*1.03</f>
        <v>571.48290334719991</v>
      </c>
      <c r="H84" s="577">
        <f t="shared" si="61"/>
        <v>588.62739044761588</v>
      </c>
      <c r="I84" s="577">
        <f t="shared" si="61"/>
        <v>606.28621216104432</v>
      </c>
      <c r="J84" s="577">
        <f t="shared" si="61"/>
        <v>624.47479852587571</v>
      </c>
      <c r="K84" s="577">
        <f t="shared" si="61"/>
        <v>643.20904248165198</v>
      </c>
      <c r="L84" s="577">
        <f t="shared" si="61"/>
        <v>662.5053137561016</v>
      </c>
      <c r="M84" s="38"/>
      <c r="N84" s="403">
        <f t="shared" si="29"/>
        <v>13.004010239999957</v>
      </c>
      <c r="O84" s="404">
        <f t="shared" si="30"/>
        <v>2.3999999999999921E-2</v>
      </c>
      <c r="P84" s="403">
        <f t="shared" si="31"/>
        <v>16.645133107199968</v>
      </c>
      <c r="Q84" s="405">
        <f t="shared" si="32"/>
        <v>2.9999999999999943E-2</v>
      </c>
      <c r="R84" s="406">
        <f t="shared" si="33"/>
        <v>29.649143347199924</v>
      </c>
      <c r="S84" s="404">
        <f t="shared" si="34"/>
        <v>5.4719999999999859E-2</v>
      </c>
      <c r="T84" s="403">
        <f t="shared" si="35"/>
        <v>17.144487100415972</v>
      </c>
      <c r="U84" s="405">
        <f t="shared" si="36"/>
        <v>2.9999999999999957E-2</v>
      </c>
      <c r="V84" s="406">
        <f t="shared" si="37"/>
        <v>46.793630447615897</v>
      </c>
      <c r="W84" s="404">
        <f t="shared" si="38"/>
        <v>8.6361599999999816E-2</v>
      </c>
      <c r="X84" s="403">
        <f t="shared" si="39"/>
        <v>17.658821713428438</v>
      </c>
      <c r="Y84" s="405">
        <f t="shared" si="40"/>
        <v>2.9999999999999933E-2</v>
      </c>
      <c r="Z84" s="406">
        <f t="shared" si="41"/>
        <v>64.452452161044334</v>
      </c>
      <c r="AA84" s="404">
        <f t="shared" si="42"/>
        <v>0.11895244799999974</v>
      </c>
      <c r="AB84" s="403">
        <f t="shared" si="43"/>
        <v>18.188586364831394</v>
      </c>
      <c r="AC84" s="405">
        <f t="shared" si="44"/>
        <v>3.0000000000000106E-2</v>
      </c>
      <c r="AD84" s="406">
        <f t="shared" si="45"/>
        <v>82.641038525875729</v>
      </c>
      <c r="AE84" s="404">
        <f t="shared" si="46"/>
        <v>0.15252102143999985</v>
      </c>
      <c r="AF84" s="403">
        <f t="shared" si="47"/>
        <v>18.734243955776265</v>
      </c>
      <c r="AG84" s="405">
        <f t="shared" si="48"/>
        <v>2.9999999999999988E-2</v>
      </c>
      <c r="AH84" s="406">
        <f t="shared" si="49"/>
        <v>101.37528248165199</v>
      </c>
      <c r="AI84" s="404">
        <f t="shared" si="50"/>
        <v>0.18709665208319984</v>
      </c>
      <c r="AJ84" s="403">
        <f t="shared" si="51"/>
        <v>19.296271274449623</v>
      </c>
      <c r="AK84" s="407">
        <f t="shared" si="52"/>
        <v>3.00000000000001E-2</v>
      </c>
      <c r="AL84" s="408">
        <f t="shared" si="53"/>
        <v>120.67155375610162</v>
      </c>
      <c r="AM84" s="404">
        <f t="shared" si="54"/>
        <v>0.22270955164569595</v>
      </c>
      <c r="AN84" s="38"/>
    </row>
    <row r="85" spans="1:40" ht="12.75" x14ac:dyDescent="0.2">
      <c r="A85" s="26"/>
      <c r="B85" s="38"/>
      <c r="C85" s="296" t="s">
        <v>637</v>
      </c>
      <c r="D85" s="296" t="str">
        <f>IF('WK2 - Notional General Income'!C100="","",'WK2 - Notional General Income'!C100)</f>
        <v>Nebraska Road Design Special Rate</v>
      </c>
      <c r="E85" s="406">
        <f>IF('WK2 - Notional General Income'!L100="","",'WK2 - Notional General Income'!L100/'WK2 - Notional General Income'!D100)</f>
        <v>135.31471999999999</v>
      </c>
      <c r="F85" s="406">
        <f>IF('WK3 - Notional GI 15-16 YIELD'!L98="","",'WK3 - Notional GI 15-16 YIELD'!L98/'WK3 - Notional GI 15-16 YIELD'!D98)</f>
        <v>138.56227328</v>
      </c>
      <c r="G85" s="577">
        <f t="shared" ref="G85:L85" si="62">+F85*1.03</f>
        <v>142.71914147839999</v>
      </c>
      <c r="H85" s="577">
        <f t="shared" si="62"/>
        <v>147.00071572275201</v>
      </c>
      <c r="I85" s="577">
        <f t="shared" si="62"/>
        <v>151.41073719443457</v>
      </c>
      <c r="J85" s="577">
        <f t="shared" si="62"/>
        <v>155.95305931026761</v>
      </c>
      <c r="K85" s="577">
        <f t="shared" si="62"/>
        <v>160.63165108957563</v>
      </c>
      <c r="L85" s="577">
        <f t="shared" si="62"/>
        <v>165.4506006222629</v>
      </c>
      <c r="M85" s="38"/>
      <c r="N85" s="403">
        <f t="shared" si="29"/>
        <v>3.2475532800000053</v>
      </c>
      <c r="O85" s="404">
        <f t="shared" si="30"/>
        <v>2.4000000000000039E-2</v>
      </c>
      <c r="P85" s="403">
        <f t="shared" si="31"/>
        <v>4.1568681983999909</v>
      </c>
      <c r="Q85" s="405">
        <f t="shared" si="32"/>
        <v>2.9999999999999933E-2</v>
      </c>
      <c r="R85" s="406">
        <f t="shared" si="33"/>
        <v>7.4044214783999962</v>
      </c>
      <c r="S85" s="404">
        <f t="shared" si="34"/>
        <v>5.4719999999999977E-2</v>
      </c>
      <c r="T85" s="403">
        <f t="shared" si="35"/>
        <v>4.2815742443520151</v>
      </c>
      <c r="U85" s="405">
        <f t="shared" si="36"/>
        <v>3.0000000000000106E-2</v>
      </c>
      <c r="V85" s="406">
        <f t="shared" si="37"/>
        <v>11.685995722752011</v>
      </c>
      <c r="W85" s="404">
        <f t="shared" si="38"/>
        <v>8.6361600000000094E-2</v>
      </c>
      <c r="X85" s="403">
        <f t="shared" si="39"/>
        <v>4.410021471682569</v>
      </c>
      <c r="Y85" s="405">
        <f t="shared" si="40"/>
        <v>3.0000000000000061E-2</v>
      </c>
      <c r="Z85" s="406">
        <f t="shared" si="41"/>
        <v>16.09601719443458</v>
      </c>
      <c r="AA85" s="404">
        <f t="shared" si="42"/>
        <v>0.11895244800000015</v>
      </c>
      <c r="AB85" s="403">
        <f t="shared" si="43"/>
        <v>4.5423221158330307</v>
      </c>
      <c r="AC85" s="405">
        <f t="shared" si="44"/>
        <v>2.9999999999999957E-2</v>
      </c>
      <c r="AD85" s="406">
        <f t="shared" si="45"/>
        <v>20.638339310267611</v>
      </c>
      <c r="AE85" s="404">
        <f t="shared" si="46"/>
        <v>0.1525210214400001</v>
      </c>
      <c r="AF85" s="403">
        <f t="shared" si="47"/>
        <v>4.6785917793080216</v>
      </c>
      <c r="AG85" s="405">
        <f t="shared" si="48"/>
        <v>2.9999999999999957E-2</v>
      </c>
      <c r="AH85" s="406">
        <f t="shared" si="49"/>
        <v>25.316931089575633</v>
      </c>
      <c r="AI85" s="404">
        <f t="shared" si="50"/>
        <v>0.18709665208320006</v>
      </c>
      <c r="AJ85" s="403">
        <f t="shared" si="51"/>
        <v>4.8189495326872702</v>
      </c>
      <c r="AK85" s="407">
        <f t="shared" si="52"/>
        <v>3.0000000000000009E-2</v>
      </c>
      <c r="AL85" s="408">
        <f t="shared" si="53"/>
        <v>30.135880622262903</v>
      </c>
      <c r="AM85" s="404">
        <f t="shared" si="54"/>
        <v>0.22270955164569609</v>
      </c>
      <c r="AN85" s="38"/>
    </row>
    <row r="86" spans="1:40" ht="12.75" x14ac:dyDescent="0.2">
      <c r="A86" s="26"/>
      <c r="B86" s="38"/>
      <c r="C86" s="296" t="s">
        <v>637</v>
      </c>
      <c r="D86" s="296" t="str">
        <f>IF('WK2 - Notional General Income'!C101="","",'WK2 - Notional General Income'!C101)</f>
        <v>Nebraska Road Construction Special Rate</v>
      </c>
      <c r="E86" s="406">
        <f>IF('WK2 - Notional General Income'!L101="","",'WK2 - Notional General Income'!L101/'WK2 - Notional General Income'!D101)</f>
        <v>231.46832000000003</v>
      </c>
      <c r="F86" s="406">
        <f>IF('WK3 - Notional GI 15-16 YIELD'!L99="","",'WK3 - Notional GI 15-16 YIELD'!L99/'WK3 - Notional GI 15-16 YIELD'!D99)</f>
        <v>237.02355968000003</v>
      </c>
      <c r="G86" s="577">
        <f t="shared" ref="G86:L86" si="63">+F86*1.03</f>
        <v>244.13426647040004</v>
      </c>
      <c r="H86" s="577">
        <f t="shared" si="63"/>
        <v>251.45829446451205</v>
      </c>
      <c r="I86" s="577">
        <f t="shared" si="63"/>
        <v>259.0020432984474</v>
      </c>
      <c r="J86" s="577">
        <f t="shared" si="63"/>
        <v>266.77210459740081</v>
      </c>
      <c r="K86" s="577">
        <f t="shared" si="63"/>
        <v>274.77526773532287</v>
      </c>
      <c r="L86" s="577">
        <f t="shared" si="63"/>
        <v>283.01852576738258</v>
      </c>
      <c r="M86" s="38"/>
      <c r="N86" s="403">
        <f t="shared" si="29"/>
        <v>5.5552396799999997</v>
      </c>
      <c r="O86" s="404">
        <f t="shared" si="30"/>
        <v>2.3999999999999994E-2</v>
      </c>
      <c r="P86" s="403">
        <f t="shared" si="31"/>
        <v>7.1107067904000019</v>
      </c>
      <c r="Q86" s="405">
        <f t="shared" si="32"/>
        <v>3.0000000000000002E-2</v>
      </c>
      <c r="R86" s="406">
        <f t="shared" si="33"/>
        <v>12.665946470400002</v>
      </c>
      <c r="S86" s="404">
        <f t="shared" si="34"/>
        <v>5.4719999999999998E-2</v>
      </c>
      <c r="T86" s="403">
        <f t="shared" si="35"/>
        <v>7.324027994112015</v>
      </c>
      <c r="U86" s="405">
        <f t="shared" si="36"/>
        <v>3.0000000000000058E-2</v>
      </c>
      <c r="V86" s="406">
        <f t="shared" si="37"/>
        <v>19.989974464512017</v>
      </c>
      <c r="W86" s="404">
        <f t="shared" si="38"/>
        <v>8.6361600000000052E-2</v>
      </c>
      <c r="X86" s="403">
        <f t="shared" si="39"/>
        <v>7.5437488339353536</v>
      </c>
      <c r="Y86" s="405">
        <f t="shared" si="40"/>
        <v>2.9999999999999968E-2</v>
      </c>
      <c r="Z86" s="406">
        <f t="shared" si="41"/>
        <v>27.53372329844737</v>
      </c>
      <c r="AA86" s="404">
        <f t="shared" si="42"/>
        <v>0.11895244800000003</v>
      </c>
      <c r="AB86" s="403">
        <f t="shared" si="43"/>
        <v>7.7700612989534079</v>
      </c>
      <c r="AC86" s="405">
        <f t="shared" si="44"/>
        <v>2.9999999999999947E-2</v>
      </c>
      <c r="AD86" s="406">
        <f t="shared" si="45"/>
        <v>35.303784597400778</v>
      </c>
      <c r="AE86" s="404">
        <f t="shared" si="46"/>
        <v>0.15252102143999996</v>
      </c>
      <c r="AF86" s="403">
        <f t="shared" si="47"/>
        <v>8.0031631379220585</v>
      </c>
      <c r="AG86" s="405">
        <f t="shared" si="48"/>
        <v>3.0000000000000127E-2</v>
      </c>
      <c r="AH86" s="406">
        <f t="shared" si="49"/>
        <v>43.306947735322836</v>
      </c>
      <c r="AI86" s="404">
        <f t="shared" si="50"/>
        <v>0.18709665208320012</v>
      </c>
      <c r="AJ86" s="403">
        <f t="shared" si="51"/>
        <v>8.243258032059714</v>
      </c>
      <c r="AK86" s="407">
        <f t="shared" si="52"/>
        <v>3.0000000000000103E-2</v>
      </c>
      <c r="AL86" s="408">
        <f t="shared" si="53"/>
        <v>51.55020576738255</v>
      </c>
      <c r="AM86" s="404">
        <f t="shared" si="54"/>
        <v>0.22270955164569622</v>
      </c>
      <c r="AN86" s="38"/>
    </row>
    <row r="87" spans="1:40" ht="12.75" x14ac:dyDescent="0.2">
      <c r="A87" s="26"/>
      <c r="B87" s="38"/>
      <c r="C87" s="296" t="s">
        <v>637</v>
      </c>
      <c r="D87" s="296" t="str">
        <f>IF('WK2 - Notional General Income'!C102="","",'WK2 - Notional General Income'!C102)</f>
        <v>Jerberra Road Infrastructure</v>
      </c>
      <c r="E87" s="406">
        <f>IF('WK2 - Notional General Income'!L102="","",'WK2 - Notional General Income'!L102/'WK2 - Notional General Income'!D102)</f>
        <v>1.0000000000000001E-5</v>
      </c>
      <c r="F87" s="406">
        <f>IF('WK3 - Notional GI 15-16 YIELD'!L100="","",'WK3 - Notional GI 15-16 YIELD'!L100/'WK3 - Notional GI 15-16 YIELD'!D100)</f>
        <v>5118.5298150000008</v>
      </c>
      <c r="G87" s="577">
        <f t="shared" ref="G87:L87" si="64">+F87*1.03</f>
        <v>5272.0857094500006</v>
      </c>
      <c r="H87" s="577">
        <f t="shared" si="64"/>
        <v>5430.2482807335009</v>
      </c>
      <c r="I87" s="577">
        <f t="shared" si="64"/>
        <v>5593.1557291555064</v>
      </c>
      <c r="J87" s="577">
        <f t="shared" si="64"/>
        <v>5760.9504010301716</v>
      </c>
      <c r="K87" s="577">
        <f t="shared" si="64"/>
        <v>5933.7789130610772</v>
      </c>
      <c r="L87" s="577">
        <f t="shared" si="64"/>
        <v>6111.7922804529098</v>
      </c>
      <c r="M87" s="38"/>
      <c r="N87" s="403">
        <f t="shared" si="29"/>
        <v>5118.529805000001</v>
      </c>
      <c r="O87" s="404">
        <f t="shared" si="30"/>
        <v>511852980.50000006</v>
      </c>
      <c r="P87" s="403">
        <f t="shared" si="31"/>
        <v>153.55589444999987</v>
      </c>
      <c r="Q87" s="405">
        <f t="shared" si="32"/>
        <v>2.9999999999999971E-2</v>
      </c>
      <c r="R87" s="406">
        <f t="shared" si="33"/>
        <v>5272.0856994500009</v>
      </c>
      <c r="S87" s="404">
        <f t="shared" si="34"/>
        <v>527208569.94500005</v>
      </c>
      <c r="T87" s="403">
        <f t="shared" si="35"/>
        <v>158.16257128350026</v>
      </c>
      <c r="U87" s="405">
        <f t="shared" si="36"/>
        <v>3.0000000000000044E-2</v>
      </c>
      <c r="V87" s="406">
        <f t="shared" si="37"/>
        <v>5430.2482707335012</v>
      </c>
      <c r="W87" s="404">
        <f t="shared" si="38"/>
        <v>543024827.07335007</v>
      </c>
      <c r="X87" s="403">
        <f t="shared" si="39"/>
        <v>162.90744842200547</v>
      </c>
      <c r="Y87" s="405">
        <f t="shared" si="40"/>
        <v>3.0000000000000082E-2</v>
      </c>
      <c r="Z87" s="406">
        <f t="shared" si="41"/>
        <v>5593.1557191555066</v>
      </c>
      <c r="AA87" s="404">
        <f t="shared" si="42"/>
        <v>559315571.91555059</v>
      </c>
      <c r="AB87" s="403">
        <f t="shared" si="43"/>
        <v>167.79467187466526</v>
      </c>
      <c r="AC87" s="405">
        <f t="shared" si="44"/>
        <v>3.0000000000000013E-2</v>
      </c>
      <c r="AD87" s="406">
        <f t="shared" si="45"/>
        <v>5760.9503910301719</v>
      </c>
      <c r="AE87" s="404">
        <f t="shared" si="46"/>
        <v>576095039.10301709</v>
      </c>
      <c r="AF87" s="403">
        <f t="shared" si="47"/>
        <v>172.82851203090559</v>
      </c>
      <c r="AG87" s="405">
        <f t="shared" si="48"/>
        <v>3.0000000000000075E-2</v>
      </c>
      <c r="AH87" s="406">
        <f t="shared" si="49"/>
        <v>5933.7789030610775</v>
      </c>
      <c r="AI87" s="404">
        <f t="shared" si="50"/>
        <v>593377890.30610764</v>
      </c>
      <c r="AJ87" s="403">
        <f t="shared" si="51"/>
        <v>178.01336739183262</v>
      </c>
      <c r="AK87" s="407">
        <f t="shared" si="52"/>
        <v>3.0000000000000051E-2</v>
      </c>
      <c r="AL87" s="408">
        <f t="shared" si="53"/>
        <v>6111.7922704529101</v>
      </c>
      <c r="AM87" s="404">
        <f t="shared" si="54"/>
        <v>611179227.04529095</v>
      </c>
      <c r="AN87" s="38"/>
    </row>
    <row r="88" spans="1:40" s="165" customFormat="1" ht="12.75" x14ac:dyDescent="0.2">
      <c r="A88" s="539"/>
      <c r="B88" s="540"/>
      <c r="C88" s="579"/>
      <c r="D88" s="579" t="s">
        <v>613</v>
      </c>
      <c r="E88" s="406">
        <f>IF(SUM(E58:E87)=0,"",(('WK2 - Notional General Income'!L35+SUM('WK2 - Notional General Income'!L93:L102))/('WK2 - Notional General Income'!D35)))</f>
        <v>953.66230940113905</v>
      </c>
      <c r="F88" s="406">
        <f>IF(SUM(F58:F87)=0,"",('WK3 - Notional GI 15-16 YIELD'!L33+SUM('WK3 - Notional GI 15-16 YIELD'!L91:L100))/'WK3 - Notional GI 15-16 YIELD'!D33)</f>
        <v>985.8465626765576</v>
      </c>
      <c r="G88" s="406">
        <f>G447/'WK3 - Notional GI 15-16 YIELD'!$D$33</f>
        <v>1015.4219595568544</v>
      </c>
      <c r="H88" s="406">
        <f>H447/'WK3 - Notional GI 15-16 YIELD'!$D$33</f>
        <v>1045.8846183435599</v>
      </c>
      <c r="I88" s="406">
        <f>I447/'WK3 - Notional GI 15-16 YIELD'!$D$33</f>
        <v>1077.2611568938667</v>
      </c>
      <c r="J88" s="406">
        <f>J447/'WK3 - Notional GI 15-16 YIELD'!$D$33</f>
        <v>1109.5789916006829</v>
      </c>
      <c r="K88" s="406">
        <f>K447/'WK3 - Notional GI 15-16 YIELD'!$D$33</f>
        <v>1142.8663613487033</v>
      </c>
      <c r="L88" s="406">
        <f>L447/'WK3 - Notional GI 15-16 YIELD'!$D$33</f>
        <v>1177.1523521891645</v>
      </c>
      <c r="M88" s="540"/>
      <c r="N88" s="403">
        <f t="shared" si="29"/>
        <v>32.184253275418541</v>
      </c>
      <c r="O88" s="404">
        <f t="shared" si="30"/>
        <v>3.3748060459292913E-2</v>
      </c>
      <c r="P88" s="403">
        <f t="shared" si="31"/>
        <v>29.575396880296807</v>
      </c>
      <c r="Q88" s="405">
        <f t="shared" si="32"/>
        <v>3.0000000000000082E-2</v>
      </c>
      <c r="R88" s="406">
        <f t="shared" si="33"/>
        <v>61.759650155715349</v>
      </c>
      <c r="S88" s="404">
        <f t="shared" si="34"/>
        <v>6.4760502273071785E-2</v>
      </c>
      <c r="T88" s="403">
        <f t="shared" si="35"/>
        <v>30.462658786705447</v>
      </c>
      <c r="U88" s="405">
        <f t="shared" si="36"/>
        <v>2.9999999999999818E-2</v>
      </c>
      <c r="V88" s="406">
        <f t="shared" si="37"/>
        <v>92.222308942420796</v>
      </c>
      <c r="W88" s="404">
        <f t="shared" si="38"/>
        <v>9.6703317341263736E-2</v>
      </c>
      <c r="X88" s="403">
        <f t="shared" si="39"/>
        <v>31.376538550306805</v>
      </c>
      <c r="Y88" s="405">
        <f t="shared" si="40"/>
        <v>3.0000000000000009E-2</v>
      </c>
      <c r="Z88" s="406">
        <f t="shared" si="41"/>
        <v>123.5988474927276</v>
      </c>
      <c r="AA88" s="404">
        <f t="shared" si="42"/>
        <v>0.12960441686150165</v>
      </c>
      <c r="AB88" s="403">
        <f t="shared" si="43"/>
        <v>32.317834706816257</v>
      </c>
      <c r="AC88" s="405">
        <f t="shared" si="44"/>
        <v>3.0000000000000238E-2</v>
      </c>
      <c r="AD88" s="406">
        <f t="shared" si="45"/>
        <v>155.91668219954386</v>
      </c>
      <c r="AE88" s="404">
        <f t="shared" si="46"/>
        <v>0.16349254936734697</v>
      </c>
      <c r="AF88" s="403">
        <f t="shared" si="47"/>
        <v>33.28736974802041</v>
      </c>
      <c r="AG88" s="405">
        <f t="shared" si="48"/>
        <v>2.999999999999993E-2</v>
      </c>
      <c r="AH88" s="406">
        <f t="shared" si="49"/>
        <v>189.20405194756427</v>
      </c>
      <c r="AI88" s="404">
        <f t="shared" si="50"/>
        <v>0.19839732584836731</v>
      </c>
      <c r="AJ88" s="403">
        <f t="shared" si="51"/>
        <v>34.285990840461182</v>
      </c>
      <c r="AK88" s="407">
        <f t="shared" si="52"/>
        <v>3.0000000000000072E-2</v>
      </c>
      <c r="AL88" s="408">
        <f t="shared" si="53"/>
        <v>223.49004278802545</v>
      </c>
      <c r="AM88" s="404">
        <f t="shared" si="54"/>
        <v>0.23434924562381843</v>
      </c>
      <c r="AN88" s="540"/>
    </row>
    <row r="89" spans="1:40" ht="12.75" x14ac:dyDescent="0.2">
      <c r="A89" s="26"/>
      <c r="B89" s="38"/>
      <c r="C89" s="296" t="s">
        <v>306</v>
      </c>
      <c r="D89" s="296" t="str">
        <f>IF('WK2 - Notional General Income'!C36="","",'WK2 - Notional General Income'!C36)</f>
        <v/>
      </c>
      <c r="E89" s="406">
        <f>IF('WK2 - Notional General Income'!L36="","",'WK2 - Notional General Income'!L36/'WK2 - Notional General Income'!D36)</f>
        <v>36.097300228571427</v>
      </c>
      <c r="F89" s="406">
        <f>IF('WK3 - Notional GI 15-16 YIELD'!L34="","",'WK3 - Notional GI 15-16 YIELD'!L34/'WK3 - Notional GI 15-16 YIELD'!D34)</f>
        <v>37.141447702857143</v>
      </c>
      <c r="G89" s="577">
        <f t="shared" ref="G89:L89" si="65">+F89*1.03</f>
        <v>38.255691133942861</v>
      </c>
      <c r="H89" s="577">
        <f t="shared" si="65"/>
        <v>39.403361867961145</v>
      </c>
      <c r="I89" s="577">
        <f t="shared" si="65"/>
        <v>40.585462723999981</v>
      </c>
      <c r="J89" s="577">
        <f t="shared" si="65"/>
        <v>41.803026605719985</v>
      </c>
      <c r="K89" s="577">
        <f t="shared" si="65"/>
        <v>43.057117403891588</v>
      </c>
      <c r="L89" s="577">
        <f t="shared" si="65"/>
        <v>44.34883092600834</v>
      </c>
      <c r="M89" s="38"/>
      <c r="N89" s="403">
        <f t="shared" si="29"/>
        <v>1.0441474742857153</v>
      </c>
      <c r="O89" s="404">
        <f t="shared" si="30"/>
        <v>2.8925916001309723E-2</v>
      </c>
      <c r="P89" s="403">
        <f t="shared" si="31"/>
        <v>1.1142434310857183</v>
      </c>
      <c r="Q89" s="405">
        <f t="shared" si="32"/>
        <v>3.000000000000011E-2</v>
      </c>
      <c r="R89" s="406">
        <f t="shared" si="33"/>
        <v>2.1583909053714336</v>
      </c>
      <c r="S89" s="404">
        <f t="shared" si="34"/>
        <v>5.9793693481349122E-2</v>
      </c>
      <c r="T89" s="403">
        <f t="shared" si="35"/>
        <v>1.1476707340182841</v>
      </c>
      <c r="U89" s="405">
        <f t="shared" si="36"/>
        <v>2.9999999999999954E-2</v>
      </c>
      <c r="V89" s="406">
        <f t="shared" si="37"/>
        <v>3.3060616393897178</v>
      </c>
      <c r="W89" s="404">
        <f t="shared" si="38"/>
        <v>9.1587504285789545E-2</v>
      </c>
      <c r="X89" s="403">
        <f t="shared" si="39"/>
        <v>1.1821008560388364</v>
      </c>
      <c r="Y89" s="405">
        <f t="shared" si="40"/>
        <v>3.0000000000000051E-2</v>
      </c>
      <c r="Z89" s="406">
        <f t="shared" si="41"/>
        <v>4.4881624954285542</v>
      </c>
      <c r="AA89" s="404">
        <f t="shared" si="42"/>
        <v>0.1243351294143633</v>
      </c>
      <c r="AB89" s="403">
        <f t="shared" si="43"/>
        <v>1.2175638817200038</v>
      </c>
      <c r="AC89" s="405">
        <f t="shared" si="44"/>
        <v>3.000000000000011E-2</v>
      </c>
      <c r="AD89" s="406">
        <f t="shared" si="45"/>
        <v>5.705726377148558</v>
      </c>
      <c r="AE89" s="404">
        <f t="shared" si="46"/>
        <v>0.15806518329679431</v>
      </c>
      <c r="AF89" s="403">
        <f t="shared" si="47"/>
        <v>1.2540907981716032</v>
      </c>
      <c r="AG89" s="405">
        <f t="shared" si="48"/>
        <v>3.0000000000000086E-2</v>
      </c>
      <c r="AH89" s="406">
        <f t="shared" si="49"/>
        <v>6.9598171753201612</v>
      </c>
      <c r="AI89" s="404">
        <f t="shared" si="50"/>
        <v>0.19280713879569825</v>
      </c>
      <c r="AJ89" s="403">
        <f t="shared" si="51"/>
        <v>1.2917135221167513</v>
      </c>
      <c r="AK89" s="407">
        <f t="shared" si="52"/>
        <v>3.0000000000000086E-2</v>
      </c>
      <c r="AL89" s="408">
        <f t="shared" si="53"/>
        <v>8.2515306974369125</v>
      </c>
      <c r="AM89" s="404">
        <f t="shared" si="54"/>
        <v>0.22859135295956928</v>
      </c>
      <c r="AN89" s="38"/>
    </row>
    <row r="90" spans="1:40" ht="12.75" x14ac:dyDescent="0.2">
      <c r="A90" s="26"/>
      <c r="B90" s="38"/>
      <c r="C90" s="296" t="s">
        <v>306</v>
      </c>
      <c r="D90" s="296" t="str">
        <f>IF('WK2 - Notional General Income'!C37="","",'WK2 - Notional General Income'!C37)</f>
        <v>Commercial/Industrial</v>
      </c>
      <c r="E90" s="406">
        <f>IF('WK2 - Notional General Income'!L37="","",'WK2 - Notional General Income'!L37/'WK2 - Notional General Income'!D37)</f>
        <v>1663.0788915300127</v>
      </c>
      <c r="F90" s="406">
        <f>IF('WK3 - Notional GI 15-16 YIELD'!L35="","",'WK3 - Notional GI 15-16 YIELD'!L35/'WK3 - Notional GI 15-16 YIELD'!D35)</f>
        <v>1696.4949758877224</v>
      </c>
      <c r="G90" s="577">
        <f t="shared" ref="G90:L90" si="66">+F90*1.03</f>
        <v>1747.3898251643541</v>
      </c>
      <c r="H90" s="577">
        <f t="shared" si="66"/>
        <v>1799.8115199192848</v>
      </c>
      <c r="I90" s="577">
        <f t="shared" si="66"/>
        <v>1853.8058655168634</v>
      </c>
      <c r="J90" s="577">
        <f t="shared" si="66"/>
        <v>1909.4200414823692</v>
      </c>
      <c r="K90" s="577">
        <f t="shared" si="66"/>
        <v>1966.7026427268404</v>
      </c>
      <c r="L90" s="577">
        <f t="shared" si="66"/>
        <v>2025.7037220086456</v>
      </c>
      <c r="M90" s="38"/>
      <c r="N90" s="403">
        <f t="shared" si="29"/>
        <v>33.416084357709678</v>
      </c>
      <c r="O90" s="404">
        <f t="shared" si="30"/>
        <v>2.0092903907262798E-2</v>
      </c>
      <c r="P90" s="403">
        <f t="shared" si="31"/>
        <v>50.894849276631703</v>
      </c>
      <c r="Q90" s="405">
        <f t="shared" si="32"/>
        <v>3.000000000000002E-2</v>
      </c>
      <c r="R90" s="406">
        <f t="shared" si="33"/>
        <v>84.310933634341382</v>
      </c>
      <c r="S90" s="404">
        <f t="shared" si="34"/>
        <v>5.0695691024480703E-2</v>
      </c>
      <c r="T90" s="403">
        <f t="shared" si="35"/>
        <v>52.421694754930741</v>
      </c>
      <c r="U90" s="405">
        <f t="shared" si="36"/>
        <v>3.0000000000000068E-2</v>
      </c>
      <c r="V90" s="406">
        <f t="shared" si="37"/>
        <v>136.73262838927212</v>
      </c>
      <c r="W90" s="404">
        <f t="shared" si="38"/>
        <v>8.2216561755215189E-2</v>
      </c>
      <c r="X90" s="403">
        <f t="shared" si="39"/>
        <v>53.994345597578558</v>
      </c>
      <c r="Y90" s="405">
        <f t="shared" si="40"/>
        <v>3.0000000000000009E-2</v>
      </c>
      <c r="Z90" s="406">
        <f t="shared" si="41"/>
        <v>190.72697398685068</v>
      </c>
      <c r="AA90" s="404">
        <f t="shared" si="42"/>
        <v>0.11468305860787166</v>
      </c>
      <c r="AB90" s="403">
        <f t="shared" si="43"/>
        <v>55.614175965505865</v>
      </c>
      <c r="AC90" s="405">
        <f t="shared" si="44"/>
        <v>2.9999999999999982E-2</v>
      </c>
      <c r="AD90" s="406">
        <f t="shared" si="45"/>
        <v>246.34114995235655</v>
      </c>
      <c r="AE90" s="404">
        <f t="shared" si="46"/>
        <v>0.14812355036610778</v>
      </c>
      <c r="AF90" s="403">
        <f t="shared" si="47"/>
        <v>57.282601244471152</v>
      </c>
      <c r="AG90" s="405">
        <f t="shared" si="48"/>
        <v>3.0000000000000041E-2</v>
      </c>
      <c r="AH90" s="406">
        <f t="shared" si="49"/>
        <v>303.6237511968277</v>
      </c>
      <c r="AI90" s="404">
        <f t="shared" si="50"/>
        <v>0.18256725687709108</v>
      </c>
      <c r="AJ90" s="403">
        <f t="shared" si="51"/>
        <v>59.001079281805232</v>
      </c>
      <c r="AK90" s="407">
        <f t="shared" si="52"/>
        <v>3.0000000000000009E-2</v>
      </c>
      <c r="AL90" s="408">
        <f t="shared" si="53"/>
        <v>362.62483047863293</v>
      </c>
      <c r="AM90" s="404">
        <f t="shared" si="54"/>
        <v>0.21804427458340381</v>
      </c>
      <c r="AN90" s="38"/>
    </row>
    <row r="91" spans="1:40" ht="12.75" x14ac:dyDescent="0.2">
      <c r="A91" s="26"/>
      <c r="B91" s="38"/>
      <c r="C91" s="296" t="s">
        <v>306</v>
      </c>
      <c r="D91" s="296" t="str">
        <f>IF('WK2 - Notional General Income'!C38="","",'WK2 - Notional General Income'!C38)</f>
        <v>Nowra</v>
      </c>
      <c r="E91" s="406">
        <f>IF('WK2 - Notional General Income'!L38="","",'WK2 - Notional General Income'!L38/'WK2 - Notional General Income'!D38)</f>
        <v>5002.3346022471906</v>
      </c>
      <c r="F91" s="406">
        <f>IF('WK3 - Notional GI 15-16 YIELD'!L36="","",'WK3 - Notional GI 15-16 YIELD'!L36/'WK3 - Notional GI 15-16 YIELD'!D36)</f>
        <v>5122.3909533707865</v>
      </c>
      <c r="G91" s="577">
        <f t="shared" ref="G91:L91" si="67">+F91*1.03</f>
        <v>5276.06268197191</v>
      </c>
      <c r="H91" s="577">
        <f t="shared" si="67"/>
        <v>5434.3445624310671</v>
      </c>
      <c r="I91" s="577">
        <f t="shared" si="67"/>
        <v>5597.374899303999</v>
      </c>
      <c r="J91" s="577">
        <f t="shared" si="67"/>
        <v>5765.296146283119</v>
      </c>
      <c r="K91" s="577">
        <f t="shared" si="67"/>
        <v>5938.255030671613</v>
      </c>
      <c r="L91" s="577">
        <f t="shared" si="67"/>
        <v>6116.4026815917614</v>
      </c>
      <c r="M91" s="38"/>
      <c r="N91" s="403">
        <f t="shared" si="29"/>
        <v>120.05635112359596</v>
      </c>
      <c r="O91" s="404">
        <f t="shared" si="30"/>
        <v>2.4000064104001208E-2</v>
      </c>
      <c r="P91" s="403">
        <f t="shared" si="31"/>
        <v>153.6717286011235</v>
      </c>
      <c r="Q91" s="405">
        <f t="shared" si="32"/>
        <v>2.9999999999999982E-2</v>
      </c>
      <c r="R91" s="406">
        <f t="shared" si="33"/>
        <v>273.72807972471946</v>
      </c>
      <c r="S91" s="404">
        <f t="shared" si="34"/>
        <v>5.4720066027121227E-2</v>
      </c>
      <c r="T91" s="403">
        <f t="shared" si="35"/>
        <v>158.28188045915704</v>
      </c>
      <c r="U91" s="405">
        <f t="shared" si="36"/>
        <v>2.999999999999995E-2</v>
      </c>
      <c r="V91" s="406">
        <f t="shared" si="37"/>
        <v>432.0099601838765</v>
      </c>
      <c r="W91" s="404">
        <f t="shared" si="38"/>
        <v>8.6361668007934808E-2</v>
      </c>
      <c r="X91" s="403">
        <f t="shared" si="39"/>
        <v>163.03033687293191</v>
      </c>
      <c r="Y91" s="405">
        <f t="shared" si="40"/>
        <v>2.9999999999999982E-2</v>
      </c>
      <c r="Z91" s="406">
        <f t="shared" si="41"/>
        <v>595.04029705680841</v>
      </c>
      <c r="AA91" s="404">
        <f t="shared" si="42"/>
        <v>0.11895251804817283</v>
      </c>
      <c r="AB91" s="403">
        <f t="shared" si="43"/>
        <v>167.92124697912004</v>
      </c>
      <c r="AC91" s="405">
        <f t="shared" si="44"/>
        <v>3.0000000000000013E-2</v>
      </c>
      <c r="AD91" s="406">
        <f t="shared" si="45"/>
        <v>762.96154403592845</v>
      </c>
      <c r="AE91" s="404">
        <f t="shared" si="46"/>
        <v>0.15252109358961805</v>
      </c>
      <c r="AF91" s="403">
        <f t="shared" si="47"/>
        <v>172.95888438849397</v>
      </c>
      <c r="AG91" s="405">
        <f t="shared" si="48"/>
        <v>3.0000000000000068E-2</v>
      </c>
      <c r="AH91" s="406">
        <f t="shared" si="49"/>
        <v>935.92042842442243</v>
      </c>
      <c r="AI91" s="404">
        <f t="shared" si="50"/>
        <v>0.18709672639730665</v>
      </c>
      <c r="AJ91" s="403">
        <f t="shared" si="51"/>
        <v>178.14765092014841</v>
      </c>
      <c r="AK91" s="407">
        <f t="shared" si="52"/>
        <v>3.0000000000000002E-2</v>
      </c>
      <c r="AL91" s="408">
        <f t="shared" si="53"/>
        <v>1114.0680793445708</v>
      </c>
      <c r="AM91" s="404">
        <f t="shared" si="54"/>
        <v>0.22270962818922585</v>
      </c>
      <c r="AN91" s="38"/>
    </row>
    <row r="92" spans="1:40" ht="12.75" x14ac:dyDescent="0.2">
      <c r="A92" s="26"/>
      <c r="B92" s="38"/>
      <c r="C92" s="296" t="s">
        <v>306</v>
      </c>
      <c r="D92" s="296" t="str">
        <f>IF('WK2 - Notional General Income'!C39="","",'WK2 - Notional General Income'!C39)</f>
        <v>Ulladulla</v>
      </c>
      <c r="E92" s="406">
        <f>IF('WK2 - Notional General Income'!L39="","",'WK2 - Notional General Income'!L39/'WK2 - Notional General Income'!D39)</f>
        <v>2990.3583664062498</v>
      </c>
      <c r="F92" s="406">
        <f>IF('WK3 - Notional GI 15-16 YIELD'!L37="","",'WK3 - Notional GI 15-16 YIELD'!L37/'WK3 - Notional GI 15-16 YIELD'!D37)</f>
        <v>3062.1427714843749</v>
      </c>
      <c r="G92" s="577">
        <f t="shared" ref="G92:L92" si="68">+F92*1.03</f>
        <v>3154.0070546289062</v>
      </c>
      <c r="H92" s="577">
        <f t="shared" si="68"/>
        <v>3248.6272662677734</v>
      </c>
      <c r="I92" s="577">
        <f t="shared" si="68"/>
        <v>3346.0860842558068</v>
      </c>
      <c r="J92" s="577">
        <f t="shared" si="68"/>
        <v>3446.4686667834812</v>
      </c>
      <c r="K92" s="577">
        <f t="shared" si="68"/>
        <v>3549.8627267869856</v>
      </c>
      <c r="L92" s="577">
        <f t="shared" si="68"/>
        <v>3656.3586085905954</v>
      </c>
      <c r="M92" s="38"/>
      <c r="N92" s="403">
        <f t="shared" si="29"/>
        <v>71.784405078125019</v>
      </c>
      <c r="O92" s="404">
        <f t="shared" si="30"/>
        <v>2.4005285080394567E-2</v>
      </c>
      <c r="P92" s="403">
        <f t="shared" si="31"/>
        <v>91.864283144531328</v>
      </c>
      <c r="Q92" s="405">
        <f t="shared" si="32"/>
        <v>3.0000000000000027E-2</v>
      </c>
      <c r="R92" s="406">
        <f t="shared" si="33"/>
        <v>163.64868822265635</v>
      </c>
      <c r="S92" s="404">
        <f t="shared" si="34"/>
        <v>5.4725443632806431E-2</v>
      </c>
      <c r="T92" s="403">
        <f t="shared" si="35"/>
        <v>94.620211638867204</v>
      </c>
      <c r="U92" s="405">
        <f t="shared" si="36"/>
        <v>3.0000000000000006E-2</v>
      </c>
      <c r="V92" s="406">
        <f t="shared" si="37"/>
        <v>258.26889986152355</v>
      </c>
      <c r="W92" s="404">
        <f t="shared" si="38"/>
        <v>8.6367206941790634E-2</v>
      </c>
      <c r="X92" s="403">
        <f t="shared" si="39"/>
        <v>97.458817988033388</v>
      </c>
      <c r="Y92" s="405">
        <f t="shared" si="40"/>
        <v>3.0000000000000058E-2</v>
      </c>
      <c r="Z92" s="406">
        <f t="shared" si="41"/>
        <v>355.72771784955694</v>
      </c>
      <c r="AA92" s="404">
        <f t="shared" si="42"/>
        <v>0.11895822315004441</v>
      </c>
      <c r="AB92" s="403">
        <f t="shared" si="43"/>
        <v>100.38258252767446</v>
      </c>
      <c r="AC92" s="405">
        <f t="shared" si="44"/>
        <v>3.0000000000000075E-2</v>
      </c>
      <c r="AD92" s="406">
        <f t="shared" si="45"/>
        <v>456.1103003772314</v>
      </c>
      <c r="AE92" s="404">
        <f t="shared" si="46"/>
        <v>0.15252696984454583</v>
      </c>
      <c r="AF92" s="403">
        <f t="shared" si="47"/>
        <v>103.39406000350436</v>
      </c>
      <c r="AG92" s="405">
        <f t="shared" si="48"/>
        <v>2.9999999999999978E-2</v>
      </c>
      <c r="AH92" s="406">
        <f t="shared" si="49"/>
        <v>559.50436038073576</v>
      </c>
      <c r="AI92" s="404">
        <f t="shared" si="50"/>
        <v>0.18710277893988217</v>
      </c>
      <c r="AJ92" s="403">
        <f t="shared" si="51"/>
        <v>106.49588180360979</v>
      </c>
      <c r="AK92" s="407">
        <f t="shared" si="52"/>
        <v>3.0000000000000061E-2</v>
      </c>
      <c r="AL92" s="408">
        <f t="shared" si="53"/>
        <v>666.00024218434555</v>
      </c>
      <c r="AM92" s="404">
        <f t="shared" si="54"/>
        <v>0.22271586230807872</v>
      </c>
      <c r="AN92" s="38"/>
    </row>
    <row r="93" spans="1:40" ht="12.75" x14ac:dyDescent="0.2">
      <c r="A93" s="26"/>
      <c r="B93" s="38"/>
      <c r="C93" s="296" t="s">
        <v>306</v>
      </c>
      <c r="D93" s="296" t="str">
        <f>IF('WK2 - Notional General Income'!C40="","",'WK2 - Notional General Income'!C40)</f>
        <v>Sussex Area Special</v>
      </c>
      <c r="E93" s="406">
        <f>IF('WK2 - Notional General Income'!L40="","",'WK2 - Notional General Income'!L40/'WK2 - Notional General Income'!D40)</f>
        <v>121.96997724210527</v>
      </c>
      <c r="F93" s="406">
        <f>IF('WK3 - Notional GI 15-16 YIELD'!L38="","",'WK3 - Notional GI 15-16 YIELD'!L38/'WK3 - Notional GI 15-16 YIELD'!D38)</f>
        <v>123.60780523958333</v>
      </c>
      <c r="G93" s="577">
        <f t="shared" ref="G93:L93" si="69">+F93*1.03</f>
        <v>127.31603939677083</v>
      </c>
      <c r="H93" s="577">
        <f t="shared" si="69"/>
        <v>131.13552057867395</v>
      </c>
      <c r="I93" s="577">
        <f t="shared" si="69"/>
        <v>135.06958619603418</v>
      </c>
      <c r="J93" s="577">
        <f t="shared" si="69"/>
        <v>139.12167378191521</v>
      </c>
      <c r="K93" s="577">
        <f t="shared" si="69"/>
        <v>143.29532399537266</v>
      </c>
      <c r="L93" s="577">
        <f t="shared" si="69"/>
        <v>147.59418371523384</v>
      </c>
      <c r="M93" s="38"/>
      <c r="N93" s="403">
        <f t="shared" si="29"/>
        <v>1.6378279974780554</v>
      </c>
      <c r="O93" s="404">
        <f t="shared" si="30"/>
        <v>1.3428124154086179E-2</v>
      </c>
      <c r="P93" s="403">
        <f t="shared" si="31"/>
        <v>3.7082341571875048</v>
      </c>
      <c r="Q93" s="405">
        <f t="shared" si="32"/>
        <v>3.0000000000000041E-2</v>
      </c>
      <c r="R93" s="406">
        <f t="shared" si="33"/>
        <v>5.3460621546655602</v>
      </c>
      <c r="S93" s="404">
        <f t="shared" si="34"/>
        <v>4.3830967878708806E-2</v>
      </c>
      <c r="T93" s="403">
        <f t="shared" si="35"/>
        <v>3.8194811819031145</v>
      </c>
      <c r="U93" s="405">
        <f t="shared" si="36"/>
        <v>2.9999999999999919E-2</v>
      </c>
      <c r="V93" s="406">
        <f t="shared" si="37"/>
        <v>9.1655433365686747</v>
      </c>
      <c r="W93" s="404">
        <f t="shared" si="38"/>
        <v>7.5145896915069982E-2</v>
      </c>
      <c r="X93" s="403">
        <f t="shared" si="39"/>
        <v>3.9340656173602326</v>
      </c>
      <c r="Y93" s="405">
        <f t="shared" si="40"/>
        <v>3.000000000000011E-2</v>
      </c>
      <c r="Z93" s="406">
        <f t="shared" si="41"/>
        <v>13.099608953928907</v>
      </c>
      <c r="AA93" s="404">
        <f t="shared" si="42"/>
        <v>0.10740027382252219</v>
      </c>
      <c r="AB93" s="403">
        <f t="shared" si="43"/>
        <v>4.0520875858810257</v>
      </c>
      <c r="AC93" s="405">
        <f t="shared" si="44"/>
        <v>3.0000000000000002E-2</v>
      </c>
      <c r="AD93" s="406">
        <f t="shared" si="45"/>
        <v>17.151696539809933</v>
      </c>
      <c r="AE93" s="404">
        <f t="shared" si="46"/>
        <v>0.14062228203719787</v>
      </c>
      <c r="AF93" s="403">
        <f t="shared" si="47"/>
        <v>4.1736502134574494</v>
      </c>
      <c r="AG93" s="405">
        <f t="shared" si="48"/>
        <v>2.999999999999995E-2</v>
      </c>
      <c r="AH93" s="406">
        <f t="shared" si="49"/>
        <v>21.325346753267382</v>
      </c>
      <c r="AI93" s="404">
        <f t="shared" si="50"/>
        <v>0.17484095049831375</v>
      </c>
      <c r="AJ93" s="403">
        <f t="shared" si="51"/>
        <v>4.2988597198611842</v>
      </c>
      <c r="AK93" s="407">
        <f t="shared" si="52"/>
        <v>3.000000000000003E-2</v>
      </c>
      <c r="AL93" s="408">
        <f t="shared" si="53"/>
        <v>25.624206473128567</v>
      </c>
      <c r="AM93" s="404">
        <f t="shared" si="54"/>
        <v>0.21008617901326321</v>
      </c>
      <c r="AN93" s="38"/>
    </row>
    <row r="94" spans="1:40" ht="12.75" x14ac:dyDescent="0.2">
      <c r="A94" s="26"/>
      <c r="B94" s="38"/>
      <c r="C94" s="296" t="s">
        <v>306</v>
      </c>
      <c r="D94" s="296" t="str">
        <f>IF('WK2 - Notional General Income'!C41="","",'WK2 - Notional General Income'!C41)</f>
        <v/>
      </c>
      <c r="E94" s="406" t="str">
        <f>IF('WK2 - Notional General Income'!L41="","",'WK2 - Notional General Income'!L41/'WK2 - Notional General Income'!D41)</f>
        <v/>
      </c>
      <c r="F94" s="406" t="str">
        <f>IF('WK3 - Notional GI 15-16 YIELD'!L39="","",'WK3 - Notional GI 15-16 YIELD'!L39/'WK3 - Notional GI 15-16 YIELD'!D39)</f>
        <v/>
      </c>
      <c r="G94" s="577"/>
      <c r="H94" s="577"/>
      <c r="I94" s="577"/>
      <c r="J94" s="577"/>
      <c r="K94" s="577"/>
      <c r="L94" s="577"/>
      <c r="M94" s="38"/>
      <c r="N94" s="403" t="str">
        <f t="shared" si="29"/>
        <v/>
      </c>
      <c r="O94" s="404" t="str">
        <f t="shared" si="30"/>
        <v/>
      </c>
      <c r="P94" s="403" t="str">
        <f t="shared" si="31"/>
        <v/>
      </c>
      <c r="Q94" s="405" t="str">
        <f t="shared" si="32"/>
        <v/>
      </c>
      <c r="R94" s="406" t="str">
        <f t="shared" si="33"/>
        <v/>
      </c>
      <c r="S94" s="404" t="str">
        <f t="shared" si="34"/>
        <v/>
      </c>
      <c r="T94" s="403" t="str">
        <f t="shared" si="35"/>
        <v/>
      </c>
      <c r="U94" s="405" t="str">
        <f t="shared" si="36"/>
        <v/>
      </c>
      <c r="V94" s="406" t="str">
        <f t="shared" si="37"/>
        <v/>
      </c>
      <c r="W94" s="404" t="str">
        <f t="shared" si="38"/>
        <v/>
      </c>
      <c r="X94" s="403" t="str">
        <f t="shared" si="39"/>
        <v/>
      </c>
      <c r="Y94" s="405" t="str">
        <f t="shared" si="40"/>
        <v/>
      </c>
      <c r="Z94" s="406" t="str">
        <f t="shared" si="41"/>
        <v/>
      </c>
      <c r="AA94" s="404" t="str">
        <f t="shared" si="42"/>
        <v/>
      </c>
      <c r="AB94" s="403" t="str">
        <f t="shared" si="43"/>
        <v/>
      </c>
      <c r="AC94" s="405" t="str">
        <f t="shared" si="44"/>
        <v/>
      </c>
      <c r="AD94" s="406" t="str">
        <f t="shared" si="45"/>
        <v/>
      </c>
      <c r="AE94" s="404" t="str">
        <f t="shared" si="46"/>
        <v/>
      </c>
      <c r="AF94" s="403" t="str">
        <f t="shared" si="47"/>
        <v/>
      </c>
      <c r="AG94" s="405" t="str">
        <f t="shared" si="48"/>
        <v/>
      </c>
      <c r="AH94" s="406" t="str">
        <f t="shared" si="49"/>
        <v/>
      </c>
      <c r="AI94" s="404" t="str">
        <f t="shared" si="50"/>
        <v/>
      </c>
      <c r="AJ94" s="403" t="str">
        <f t="shared" si="51"/>
        <v/>
      </c>
      <c r="AK94" s="407" t="str">
        <f t="shared" si="52"/>
        <v/>
      </c>
      <c r="AL94" s="408" t="str">
        <f t="shared" si="53"/>
        <v/>
      </c>
      <c r="AM94" s="404" t="str">
        <f t="shared" si="54"/>
        <v/>
      </c>
      <c r="AN94" s="38"/>
    </row>
    <row r="95" spans="1:40" ht="12.75" x14ac:dyDescent="0.2">
      <c r="A95" s="26"/>
      <c r="B95" s="38"/>
      <c r="C95" s="296" t="s">
        <v>306</v>
      </c>
      <c r="D95" s="296" t="str">
        <f>IF('WK2 - Notional General Income'!C42="","",'WK2 - Notional General Income'!C42)</f>
        <v/>
      </c>
      <c r="E95" s="406" t="str">
        <f>IF('WK2 - Notional General Income'!L42="","",'WK2 - Notional General Income'!L42/'WK2 - Notional General Income'!D42)</f>
        <v/>
      </c>
      <c r="F95" s="406" t="str">
        <f>IF('WK3 - Notional GI 15-16 YIELD'!L40="","",'WK3 - Notional GI 15-16 YIELD'!L40/'WK3 - Notional GI 15-16 YIELD'!D40)</f>
        <v/>
      </c>
      <c r="G95" s="577"/>
      <c r="H95" s="577"/>
      <c r="I95" s="577"/>
      <c r="J95" s="577"/>
      <c r="K95" s="577"/>
      <c r="L95" s="577"/>
      <c r="M95" s="38"/>
      <c r="N95" s="403" t="str">
        <f t="shared" si="29"/>
        <v/>
      </c>
      <c r="O95" s="404" t="str">
        <f t="shared" si="30"/>
        <v/>
      </c>
      <c r="P95" s="403" t="str">
        <f t="shared" si="31"/>
        <v/>
      </c>
      <c r="Q95" s="405" t="str">
        <f t="shared" si="32"/>
        <v/>
      </c>
      <c r="R95" s="406" t="str">
        <f t="shared" si="33"/>
        <v/>
      </c>
      <c r="S95" s="404" t="str">
        <f t="shared" si="34"/>
        <v/>
      </c>
      <c r="T95" s="403" t="str">
        <f t="shared" si="35"/>
        <v/>
      </c>
      <c r="U95" s="405" t="str">
        <f t="shared" si="36"/>
        <v/>
      </c>
      <c r="V95" s="406" t="str">
        <f t="shared" si="37"/>
        <v/>
      </c>
      <c r="W95" s="404" t="str">
        <f t="shared" si="38"/>
        <v/>
      </c>
      <c r="X95" s="403" t="str">
        <f t="shared" si="39"/>
        <v/>
      </c>
      <c r="Y95" s="405" t="str">
        <f t="shared" si="40"/>
        <v/>
      </c>
      <c r="Z95" s="406" t="str">
        <f t="shared" si="41"/>
        <v/>
      </c>
      <c r="AA95" s="404" t="str">
        <f t="shared" si="42"/>
        <v/>
      </c>
      <c r="AB95" s="403" t="str">
        <f t="shared" si="43"/>
        <v/>
      </c>
      <c r="AC95" s="405" t="str">
        <f t="shared" si="44"/>
        <v/>
      </c>
      <c r="AD95" s="406" t="str">
        <f t="shared" si="45"/>
        <v/>
      </c>
      <c r="AE95" s="404" t="str">
        <f t="shared" si="46"/>
        <v/>
      </c>
      <c r="AF95" s="403" t="str">
        <f t="shared" si="47"/>
        <v/>
      </c>
      <c r="AG95" s="405" t="str">
        <f t="shared" si="48"/>
        <v/>
      </c>
      <c r="AH95" s="406" t="str">
        <f t="shared" si="49"/>
        <v/>
      </c>
      <c r="AI95" s="404" t="str">
        <f t="shared" si="50"/>
        <v/>
      </c>
      <c r="AJ95" s="403" t="str">
        <f t="shared" si="51"/>
        <v/>
      </c>
      <c r="AK95" s="407" t="str">
        <f t="shared" si="52"/>
        <v/>
      </c>
      <c r="AL95" s="408" t="str">
        <f t="shared" si="53"/>
        <v/>
      </c>
      <c r="AM95" s="404" t="str">
        <f t="shared" si="54"/>
        <v/>
      </c>
      <c r="AN95" s="38"/>
    </row>
    <row r="96" spans="1:40" ht="12.75" x14ac:dyDescent="0.2">
      <c r="A96" s="26"/>
      <c r="B96" s="38"/>
      <c r="C96" s="296" t="s">
        <v>306</v>
      </c>
      <c r="D96" s="296" t="str">
        <f>IF('WK2 - Notional General Income'!C43="","",'WK2 - Notional General Income'!C43)</f>
        <v/>
      </c>
      <c r="E96" s="406" t="str">
        <f>IF('WK2 - Notional General Income'!L43="","",'WK2 - Notional General Income'!L43/'WK2 - Notional General Income'!D43)</f>
        <v/>
      </c>
      <c r="F96" s="406" t="str">
        <f>IF('WK3 - Notional GI 15-16 YIELD'!L41="","",'WK3 - Notional GI 15-16 YIELD'!L41/'WK3 - Notional GI 15-16 YIELD'!D41)</f>
        <v/>
      </c>
      <c r="G96" s="577"/>
      <c r="H96" s="577"/>
      <c r="I96" s="577"/>
      <c r="J96" s="577"/>
      <c r="K96" s="577"/>
      <c r="L96" s="577"/>
      <c r="M96" s="38"/>
      <c r="N96" s="403" t="str">
        <f t="shared" si="29"/>
        <v/>
      </c>
      <c r="O96" s="404" t="str">
        <f t="shared" si="30"/>
        <v/>
      </c>
      <c r="P96" s="403" t="str">
        <f t="shared" si="31"/>
        <v/>
      </c>
      <c r="Q96" s="405" t="str">
        <f t="shared" si="32"/>
        <v/>
      </c>
      <c r="R96" s="406" t="str">
        <f t="shared" si="33"/>
        <v/>
      </c>
      <c r="S96" s="404" t="str">
        <f t="shared" si="34"/>
        <v/>
      </c>
      <c r="T96" s="403" t="str">
        <f t="shared" si="35"/>
        <v/>
      </c>
      <c r="U96" s="405" t="str">
        <f t="shared" si="36"/>
        <v/>
      </c>
      <c r="V96" s="406" t="str">
        <f t="shared" si="37"/>
        <v/>
      </c>
      <c r="W96" s="404" t="str">
        <f t="shared" si="38"/>
        <v/>
      </c>
      <c r="X96" s="403" t="str">
        <f t="shared" si="39"/>
        <v/>
      </c>
      <c r="Y96" s="405" t="str">
        <f t="shared" si="40"/>
        <v/>
      </c>
      <c r="Z96" s="406" t="str">
        <f t="shared" si="41"/>
        <v/>
      </c>
      <c r="AA96" s="404" t="str">
        <f t="shared" si="42"/>
        <v/>
      </c>
      <c r="AB96" s="403" t="str">
        <f t="shared" si="43"/>
        <v/>
      </c>
      <c r="AC96" s="405" t="str">
        <f t="shared" si="44"/>
        <v/>
      </c>
      <c r="AD96" s="406" t="str">
        <f t="shared" si="45"/>
        <v/>
      </c>
      <c r="AE96" s="404" t="str">
        <f t="shared" si="46"/>
        <v/>
      </c>
      <c r="AF96" s="403" t="str">
        <f t="shared" si="47"/>
        <v/>
      </c>
      <c r="AG96" s="405" t="str">
        <f t="shared" si="48"/>
        <v/>
      </c>
      <c r="AH96" s="406" t="str">
        <f t="shared" si="49"/>
        <v/>
      </c>
      <c r="AI96" s="404" t="str">
        <f t="shared" si="50"/>
        <v/>
      </c>
      <c r="AJ96" s="403" t="str">
        <f t="shared" si="51"/>
        <v/>
      </c>
      <c r="AK96" s="407" t="str">
        <f t="shared" si="52"/>
        <v/>
      </c>
      <c r="AL96" s="408" t="str">
        <f t="shared" si="53"/>
        <v/>
      </c>
      <c r="AM96" s="404" t="str">
        <f t="shared" si="54"/>
        <v/>
      </c>
      <c r="AN96" s="38"/>
    </row>
    <row r="97" spans="1:40" ht="12.75" x14ac:dyDescent="0.2">
      <c r="A97" s="26"/>
      <c r="B97" s="38"/>
      <c r="C97" s="296" t="s">
        <v>306</v>
      </c>
      <c r="D97" s="296" t="str">
        <f>IF('WK2 - Notional General Income'!C44="","",'WK2 - Notional General Income'!C44)</f>
        <v/>
      </c>
      <c r="E97" s="406" t="str">
        <f>IF('WK2 - Notional General Income'!L44="","",'WK2 - Notional General Income'!L44/'WK2 - Notional General Income'!D44)</f>
        <v/>
      </c>
      <c r="F97" s="406" t="str">
        <f>IF('WK3 - Notional GI 15-16 YIELD'!L42="","",'WK3 - Notional GI 15-16 YIELD'!L42/'WK3 - Notional GI 15-16 YIELD'!D42)</f>
        <v/>
      </c>
      <c r="G97" s="577"/>
      <c r="H97" s="577"/>
      <c r="I97" s="577"/>
      <c r="J97" s="577"/>
      <c r="K97" s="577"/>
      <c r="L97" s="577"/>
      <c r="M97" s="38"/>
      <c r="N97" s="403" t="str">
        <f t="shared" si="29"/>
        <v/>
      </c>
      <c r="O97" s="404" t="str">
        <f t="shared" si="30"/>
        <v/>
      </c>
      <c r="P97" s="403" t="str">
        <f t="shared" si="31"/>
        <v/>
      </c>
      <c r="Q97" s="405" t="str">
        <f t="shared" si="32"/>
        <v/>
      </c>
      <c r="R97" s="406" t="str">
        <f t="shared" si="33"/>
        <v/>
      </c>
      <c r="S97" s="404" t="str">
        <f t="shared" si="34"/>
        <v/>
      </c>
      <c r="T97" s="403" t="str">
        <f t="shared" si="35"/>
        <v/>
      </c>
      <c r="U97" s="405" t="str">
        <f t="shared" si="36"/>
        <v/>
      </c>
      <c r="V97" s="406" t="str">
        <f t="shared" si="37"/>
        <v/>
      </c>
      <c r="W97" s="404" t="str">
        <f t="shared" si="38"/>
        <v/>
      </c>
      <c r="X97" s="403" t="str">
        <f t="shared" si="39"/>
        <v/>
      </c>
      <c r="Y97" s="405" t="str">
        <f t="shared" si="40"/>
        <v/>
      </c>
      <c r="Z97" s="406" t="str">
        <f t="shared" si="41"/>
        <v/>
      </c>
      <c r="AA97" s="404" t="str">
        <f t="shared" si="42"/>
        <v/>
      </c>
      <c r="AB97" s="403" t="str">
        <f t="shared" si="43"/>
        <v/>
      </c>
      <c r="AC97" s="405" t="str">
        <f t="shared" si="44"/>
        <v/>
      </c>
      <c r="AD97" s="406" t="str">
        <f t="shared" si="45"/>
        <v/>
      </c>
      <c r="AE97" s="404" t="str">
        <f t="shared" si="46"/>
        <v/>
      </c>
      <c r="AF97" s="403" t="str">
        <f t="shared" si="47"/>
        <v/>
      </c>
      <c r="AG97" s="405" t="str">
        <f t="shared" si="48"/>
        <v/>
      </c>
      <c r="AH97" s="406" t="str">
        <f t="shared" si="49"/>
        <v/>
      </c>
      <c r="AI97" s="404" t="str">
        <f t="shared" si="50"/>
        <v/>
      </c>
      <c r="AJ97" s="403" t="str">
        <f t="shared" si="51"/>
        <v/>
      </c>
      <c r="AK97" s="407" t="str">
        <f t="shared" si="52"/>
        <v/>
      </c>
      <c r="AL97" s="408" t="str">
        <f t="shared" si="53"/>
        <v/>
      </c>
      <c r="AM97" s="404" t="str">
        <f t="shared" si="54"/>
        <v/>
      </c>
      <c r="AN97" s="38"/>
    </row>
    <row r="98" spans="1:40" ht="12.75" x14ac:dyDescent="0.2">
      <c r="A98" s="26"/>
      <c r="B98" s="38"/>
      <c r="C98" s="296" t="s">
        <v>306</v>
      </c>
      <c r="D98" s="296" t="str">
        <f>IF('WK2 - Notional General Income'!C45="","",'WK2 - Notional General Income'!C45)</f>
        <v/>
      </c>
      <c r="E98" s="406" t="str">
        <f>IF('WK2 - Notional General Income'!L45="","",'WK2 - Notional General Income'!L45/'WK2 - Notional General Income'!D45)</f>
        <v/>
      </c>
      <c r="F98" s="406" t="str">
        <f>IF('WK3 - Notional GI 15-16 YIELD'!L43="","",'WK3 - Notional GI 15-16 YIELD'!L43/'WK3 - Notional GI 15-16 YIELD'!D43)</f>
        <v/>
      </c>
      <c r="G98" s="577"/>
      <c r="H98" s="577"/>
      <c r="I98" s="577"/>
      <c r="J98" s="577"/>
      <c r="K98" s="577"/>
      <c r="L98" s="577"/>
      <c r="M98" s="38"/>
      <c r="N98" s="403" t="str">
        <f t="shared" si="29"/>
        <v/>
      </c>
      <c r="O98" s="404" t="str">
        <f t="shared" si="30"/>
        <v/>
      </c>
      <c r="P98" s="403" t="str">
        <f t="shared" si="31"/>
        <v/>
      </c>
      <c r="Q98" s="405" t="str">
        <f t="shared" si="32"/>
        <v/>
      </c>
      <c r="R98" s="406" t="str">
        <f t="shared" si="33"/>
        <v/>
      </c>
      <c r="S98" s="404" t="str">
        <f t="shared" si="34"/>
        <v/>
      </c>
      <c r="T98" s="403" t="str">
        <f t="shared" si="35"/>
        <v/>
      </c>
      <c r="U98" s="405" t="str">
        <f t="shared" si="36"/>
        <v/>
      </c>
      <c r="V98" s="406" t="str">
        <f t="shared" si="37"/>
        <v/>
      </c>
      <c r="W98" s="404" t="str">
        <f t="shared" si="38"/>
        <v/>
      </c>
      <c r="X98" s="403" t="str">
        <f t="shared" si="39"/>
        <v/>
      </c>
      <c r="Y98" s="405" t="str">
        <f t="shared" si="40"/>
        <v/>
      </c>
      <c r="Z98" s="406" t="str">
        <f t="shared" si="41"/>
        <v/>
      </c>
      <c r="AA98" s="404" t="str">
        <f t="shared" si="42"/>
        <v/>
      </c>
      <c r="AB98" s="403" t="str">
        <f t="shared" si="43"/>
        <v/>
      </c>
      <c r="AC98" s="405" t="str">
        <f t="shared" si="44"/>
        <v/>
      </c>
      <c r="AD98" s="406" t="str">
        <f t="shared" si="45"/>
        <v/>
      </c>
      <c r="AE98" s="404" t="str">
        <f t="shared" si="46"/>
        <v/>
      </c>
      <c r="AF98" s="403" t="str">
        <f t="shared" si="47"/>
        <v/>
      </c>
      <c r="AG98" s="405" t="str">
        <f t="shared" si="48"/>
        <v/>
      </c>
      <c r="AH98" s="406" t="str">
        <f t="shared" si="49"/>
        <v/>
      </c>
      <c r="AI98" s="404" t="str">
        <f t="shared" si="50"/>
        <v/>
      </c>
      <c r="AJ98" s="403" t="str">
        <f t="shared" si="51"/>
        <v/>
      </c>
      <c r="AK98" s="407" t="str">
        <f t="shared" si="52"/>
        <v/>
      </c>
      <c r="AL98" s="408" t="str">
        <f t="shared" si="53"/>
        <v/>
      </c>
      <c r="AM98" s="404" t="str">
        <f t="shared" si="54"/>
        <v/>
      </c>
      <c r="AN98" s="38"/>
    </row>
    <row r="99" spans="1:40" ht="12.75" x14ac:dyDescent="0.2">
      <c r="A99" s="26"/>
      <c r="B99" s="38"/>
      <c r="C99" s="296" t="s">
        <v>306</v>
      </c>
      <c r="D99" s="296" t="str">
        <f>IF('WK2 - Notional General Income'!C46="","",'WK2 - Notional General Income'!C46)</f>
        <v/>
      </c>
      <c r="E99" s="406" t="str">
        <f>IF('WK2 - Notional General Income'!L46="","",'WK2 - Notional General Income'!L46/'WK2 - Notional General Income'!D46)</f>
        <v/>
      </c>
      <c r="F99" s="406" t="str">
        <f>IF('WK3 - Notional GI 15-16 YIELD'!L44="","",'WK3 - Notional GI 15-16 YIELD'!L44/'WK3 - Notional GI 15-16 YIELD'!D44)</f>
        <v/>
      </c>
      <c r="G99" s="577"/>
      <c r="H99" s="577"/>
      <c r="I99" s="577"/>
      <c r="J99" s="577"/>
      <c r="K99" s="577"/>
      <c r="L99" s="577"/>
      <c r="M99" s="38"/>
      <c r="N99" s="403" t="str">
        <f t="shared" si="29"/>
        <v/>
      </c>
      <c r="O99" s="404" t="str">
        <f t="shared" si="30"/>
        <v/>
      </c>
      <c r="P99" s="403" t="str">
        <f t="shared" si="31"/>
        <v/>
      </c>
      <c r="Q99" s="405" t="str">
        <f t="shared" si="32"/>
        <v/>
      </c>
      <c r="R99" s="406" t="str">
        <f t="shared" si="33"/>
        <v/>
      </c>
      <c r="S99" s="404" t="str">
        <f t="shared" si="34"/>
        <v/>
      </c>
      <c r="T99" s="403" t="str">
        <f t="shared" si="35"/>
        <v/>
      </c>
      <c r="U99" s="405" t="str">
        <f t="shared" si="36"/>
        <v/>
      </c>
      <c r="V99" s="406" t="str">
        <f t="shared" si="37"/>
        <v/>
      </c>
      <c r="W99" s="404" t="str">
        <f t="shared" si="38"/>
        <v/>
      </c>
      <c r="X99" s="403" t="str">
        <f t="shared" si="39"/>
        <v/>
      </c>
      <c r="Y99" s="405" t="str">
        <f t="shared" si="40"/>
        <v/>
      </c>
      <c r="Z99" s="406" t="str">
        <f t="shared" si="41"/>
        <v/>
      </c>
      <c r="AA99" s="404" t="str">
        <f t="shared" si="42"/>
        <v/>
      </c>
      <c r="AB99" s="403" t="str">
        <f t="shared" si="43"/>
        <v/>
      </c>
      <c r="AC99" s="405" t="str">
        <f t="shared" si="44"/>
        <v/>
      </c>
      <c r="AD99" s="406" t="str">
        <f t="shared" si="45"/>
        <v/>
      </c>
      <c r="AE99" s="404" t="str">
        <f t="shared" si="46"/>
        <v/>
      </c>
      <c r="AF99" s="403" t="str">
        <f t="shared" si="47"/>
        <v/>
      </c>
      <c r="AG99" s="405" t="str">
        <f t="shared" si="48"/>
        <v/>
      </c>
      <c r="AH99" s="406" t="str">
        <f t="shared" si="49"/>
        <v/>
      </c>
      <c r="AI99" s="404" t="str">
        <f t="shared" si="50"/>
        <v/>
      </c>
      <c r="AJ99" s="403" t="str">
        <f t="shared" si="51"/>
        <v/>
      </c>
      <c r="AK99" s="407" t="str">
        <f t="shared" si="52"/>
        <v/>
      </c>
      <c r="AL99" s="408" t="str">
        <f t="shared" si="53"/>
        <v/>
      </c>
      <c r="AM99" s="404" t="str">
        <f t="shared" si="54"/>
        <v/>
      </c>
      <c r="AN99" s="38"/>
    </row>
    <row r="100" spans="1:40" ht="12.75" x14ac:dyDescent="0.2">
      <c r="A100" s="26"/>
      <c r="B100" s="38"/>
      <c r="C100" s="296" t="s">
        <v>306</v>
      </c>
      <c r="D100" s="296" t="str">
        <f>IF('WK2 - Notional General Income'!C47="","",'WK2 - Notional General Income'!C47)</f>
        <v/>
      </c>
      <c r="E100" s="406" t="str">
        <f>IF('WK2 - Notional General Income'!L47="","",'WK2 - Notional General Income'!L47/'WK2 - Notional General Income'!D47)</f>
        <v/>
      </c>
      <c r="F100" s="406" t="str">
        <f>IF('WK3 - Notional GI 15-16 YIELD'!L45="","",'WK3 - Notional GI 15-16 YIELD'!L45/'WK3 - Notional GI 15-16 YIELD'!D45)</f>
        <v/>
      </c>
      <c r="G100" s="577"/>
      <c r="H100" s="577"/>
      <c r="I100" s="577"/>
      <c r="J100" s="577"/>
      <c r="K100" s="577"/>
      <c r="L100" s="577"/>
      <c r="M100" s="38"/>
      <c r="N100" s="403" t="str">
        <f t="shared" si="29"/>
        <v/>
      </c>
      <c r="O100" s="404" t="str">
        <f t="shared" si="30"/>
        <v/>
      </c>
      <c r="P100" s="403" t="str">
        <f t="shared" si="31"/>
        <v/>
      </c>
      <c r="Q100" s="405" t="str">
        <f t="shared" si="32"/>
        <v/>
      </c>
      <c r="R100" s="406" t="str">
        <f t="shared" si="33"/>
        <v/>
      </c>
      <c r="S100" s="404" t="str">
        <f t="shared" si="34"/>
        <v/>
      </c>
      <c r="T100" s="403" t="str">
        <f t="shared" si="35"/>
        <v/>
      </c>
      <c r="U100" s="405" t="str">
        <f t="shared" si="36"/>
        <v/>
      </c>
      <c r="V100" s="406" t="str">
        <f t="shared" si="37"/>
        <v/>
      </c>
      <c r="W100" s="404" t="str">
        <f t="shared" si="38"/>
        <v/>
      </c>
      <c r="X100" s="403" t="str">
        <f t="shared" si="39"/>
        <v/>
      </c>
      <c r="Y100" s="405" t="str">
        <f t="shared" si="40"/>
        <v/>
      </c>
      <c r="Z100" s="406" t="str">
        <f t="shared" si="41"/>
        <v/>
      </c>
      <c r="AA100" s="404" t="str">
        <f t="shared" si="42"/>
        <v/>
      </c>
      <c r="AB100" s="403" t="str">
        <f t="shared" si="43"/>
        <v/>
      </c>
      <c r="AC100" s="405" t="str">
        <f t="shared" si="44"/>
        <v/>
      </c>
      <c r="AD100" s="406" t="str">
        <f t="shared" si="45"/>
        <v/>
      </c>
      <c r="AE100" s="404" t="str">
        <f t="shared" si="46"/>
        <v/>
      </c>
      <c r="AF100" s="403" t="str">
        <f t="shared" si="47"/>
        <v/>
      </c>
      <c r="AG100" s="405" t="str">
        <f t="shared" si="48"/>
        <v/>
      </c>
      <c r="AH100" s="406" t="str">
        <f t="shared" si="49"/>
        <v/>
      </c>
      <c r="AI100" s="404" t="str">
        <f t="shared" si="50"/>
        <v/>
      </c>
      <c r="AJ100" s="403" t="str">
        <f t="shared" si="51"/>
        <v/>
      </c>
      <c r="AK100" s="407" t="str">
        <f t="shared" si="52"/>
        <v/>
      </c>
      <c r="AL100" s="408" t="str">
        <f t="shared" si="53"/>
        <v/>
      </c>
      <c r="AM100" s="404" t="str">
        <f t="shared" si="54"/>
        <v/>
      </c>
      <c r="AN100" s="38"/>
    </row>
    <row r="101" spans="1:40" ht="12.75" x14ac:dyDescent="0.2">
      <c r="A101" s="26"/>
      <c r="B101" s="38"/>
      <c r="C101" s="296" t="s">
        <v>306</v>
      </c>
      <c r="D101" s="296" t="str">
        <f>IF('WK2 - Notional General Income'!C48="","",'WK2 - Notional General Income'!C48)</f>
        <v/>
      </c>
      <c r="E101" s="406" t="str">
        <f>IF('WK2 - Notional General Income'!L48="","",'WK2 - Notional General Income'!L48/'WK2 - Notional General Income'!D48)</f>
        <v/>
      </c>
      <c r="F101" s="406" t="str">
        <f>IF('WK3 - Notional GI 15-16 YIELD'!L46="","",'WK3 - Notional GI 15-16 YIELD'!L46/'WK3 - Notional GI 15-16 YIELD'!D46)</f>
        <v/>
      </c>
      <c r="G101" s="577"/>
      <c r="H101" s="577"/>
      <c r="I101" s="577"/>
      <c r="J101" s="577"/>
      <c r="K101" s="577"/>
      <c r="L101" s="577"/>
      <c r="M101" s="38"/>
      <c r="N101" s="403" t="str">
        <f t="shared" si="29"/>
        <v/>
      </c>
      <c r="O101" s="404" t="str">
        <f t="shared" si="30"/>
        <v/>
      </c>
      <c r="P101" s="403" t="str">
        <f t="shared" si="31"/>
        <v/>
      </c>
      <c r="Q101" s="405" t="str">
        <f t="shared" si="32"/>
        <v/>
      </c>
      <c r="R101" s="406" t="str">
        <f t="shared" si="33"/>
        <v/>
      </c>
      <c r="S101" s="404" t="str">
        <f t="shared" si="34"/>
        <v/>
      </c>
      <c r="T101" s="403" t="str">
        <f t="shared" si="35"/>
        <v/>
      </c>
      <c r="U101" s="405" t="str">
        <f t="shared" si="36"/>
        <v/>
      </c>
      <c r="V101" s="406" t="str">
        <f t="shared" si="37"/>
        <v/>
      </c>
      <c r="W101" s="404" t="str">
        <f t="shared" si="38"/>
        <v/>
      </c>
      <c r="X101" s="403" t="str">
        <f t="shared" si="39"/>
        <v/>
      </c>
      <c r="Y101" s="405" t="str">
        <f t="shared" si="40"/>
        <v/>
      </c>
      <c r="Z101" s="406" t="str">
        <f t="shared" si="41"/>
        <v/>
      </c>
      <c r="AA101" s="404" t="str">
        <f t="shared" si="42"/>
        <v/>
      </c>
      <c r="AB101" s="403" t="str">
        <f t="shared" si="43"/>
        <v/>
      </c>
      <c r="AC101" s="405" t="str">
        <f t="shared" si="44"/>
        <v/>
      </c>
      <c r="AD101" s="406" t="str">
        <f t="shared" si="45"/>
        <v/>
      </c>
      <c r="AE101" s="404" t="str">
        <f t="shared" si="46"/>
        <v/>
      </c>
      <c r="AF101" s="403" t="str">
        <f t="shared" si="47"/>
        <v/>
      </c>
      <c r="AG101" s="405" t="str">
        <f t="shared" si="48"/>
        <v/>
      </c>
      <c r="AH101" s="406" t="str">
        <f t="shared" si="49"/>
        <v/>
      </c>
      <c r="AI101" s="404" t="str">
        <f t="shared" si="50"/>
        <v/>
      </c>
      <c r="AJ101" s="403" t="str">
        <f t="shared" si="51"/>
        <v/>
      </c>
      <c r="AK101" s="407" t="str">
        <f t="shared" si="52"/>
        <v/>
      </c>
      <c r="AL101" s="408" t="str">
        <f t="shared" si="53"/>
        <v/>
      </c>
      <c r="AM101" s="404" t="str">
        <f t="shared" si="54"/>
        <v/>
      </c>
      <c r="AN101" s="38"/>
    </row>
    <row r="102" spans="1:40" ht="12.75" x14ac:dyDescent="0.2">
      <c r="A102" s="26"/>
      <c r="B102" s="38"/>
      <c r="C102" s="296" t="s">
        <v>306</v>
      </c>
      <c r="D102" s="296" t="str">
        <f>IF('WK2 - Notional General Income'!C49="","",'WK2 - Notional General Income'!C49)</f>
        <v/>
      </c>
      <c r="E102" s="406" t="str">
        <f>IF('WK2 - Notional General Income'!L49="","",'WK2 - Notional General Income'!L49/'WK2 - Notional General Income'!D49)</f>
        <v/>
      </c>
      <c r="F102" s="406" t="str">
        <f>IF('WK3 - Notional GI 15-16 YIELD'!L47="","",'WK3 - Notional GI 15-16 YIELD'!L47/'WK3 - Notional GI 15-16 YIELD'!D47)</f>
        <v/>
      </c>
      <c r="G102" s="577"/>
      <c r="H102" s="577"/>
      <c r="I102" s="577"/>
      <c r="J102" s="577"/>
      <c r="K102" s="577"/>
      <c r="L102" s="577"/>
      <c r="M102" s="38"/>
      <c r="N102" s="403" t="str">
        <f t="shared" si="29"/>
        <v/>
      </c>
      <c r="O102" s="404" t="str">
        <f t="shared" si="30"/>
        <v/>
      </c>
      <c r="P102" s="403" t="str">
        <f t="shared" si="31"/>
        <v/>
      </c>
      <c r="Q102" s="405" t="str">
        <f t="shared" si="32"/>
        <v/>
      </c>
      <c r="R102" s="406" t="str">
        <f t="shared" si="33"/>
        <v/>
      </c>
      <c r="S102" s="404" t="str">
        <f t="shared" si="34"/>
        <v/>
      </c>
      <c r="T102" s="403" t="str">
        <f t="shared" si="35"/>
        <v/>
      </c>
      <c r="U102" s="405" t="str">
        <f t="shared" si="36"/>
        <v/>
      </c>
      <c r="V102" s="406" t="str">
        <f t="shared" si="37"/>
        <v/>
      </c>
      <c r="W102" s="404" t="str">
        <f t="shared" si="38"/>
        <v/>
      </c>
      <c r="X102" s="403" t="str">
        <f t="shared" si="39"/>
        <v/>
      </c>
      <c r="Y102" s="405" t="str">
        <f t="shared" si="40"/>
        <v/>
      </c>
      <c r="Z102" s="406" t="str">
        <f t="shared" si="41"/>
        <v/>
      </c>
      <c r="AA102" s="404" t="str">
        <f t="shared" si="42"/>
        <v/>
      </c>
      <c r="AB102" s="403" t="str">
        <f t="shared" si="43"/>
        <v/>
      </c>
      <c r="AC102" s="405" t="str">
        <f t="shared" si="44"/>
        <v/>
      </c>
      <c r="AD102" s="406" t="str">
        <f t="shared" si="45"/>
        <v/>
      </c>
      <c r="AE102" s="404" t="str">
        <f t="shared" si="46"/>
        <v/>
      </c>
      <c r="AF102" s="403" t="str">
        <f t="shared" si="47"/>
        <v/>
      </c>
      <c r="AG102" s="405" t="str">
        <f t="shared" si="48"/>
        <v/>
      </c>
      <c r="AH102" s="406" t="str">
        <f t="shared" si="49"/>
        <v/>
      </c>
      <c r="AI102" s="404" t="str">
        <f t="shared" si="50"/>
        <v/>
      </c>
      <c r="AJ102" s="403" t="str">
        <f t="shared" si="51"/>
        <v/>
      </c>
      <c r="AK102" s="407" t="str">
        <f t="shared" si="52"/>
        <v/>
      </c>
      <c r="AL102" s="408" t="str">
        <f t="shared" si="53"/>
        <v/>
      </c>
      <c r="AM102" s="404" t="str">
        <f t="shared" si="54"/>
        <v/>
      </c>
      <c r="AN102" s="38"/>
    </row>
    <row r="103" spans="1:40" ht="12.75" x14ac:dyDescent="0.2">
      <c r="A103" s="26"/>
      <c r="B103" s="38"/>
      <c r="C103" s="296" t="s">
        <v>306</v>
      </c>
      <c r="D103" s="296" t="str">
        <f>IF('WK2 - Notional General Income'!C50="","",'WK2 - Notional General Income'!C50)</f>
        <v/>
      </c>
      <c r="E103" s="406" t="str">
        <f>IF('WK2 - Notional General Income'!L50="","",'WK2 - Notional General Income'!L50/'WK2 - Notional General Income'!D50)</f>
        <v/>
      </c>
      <c r="F103" s="406" t="str">
        <f>IF('WK3 - Notional GI 15-16 YIELD'!L48="","",'WK3 - Notional GI 15-16 YIELD'!L48/'WK3 - Notional GI 15-16 YIELD'!D48)</f>
        <v/>
      </c>
      <c r="G103" s="577"/>
      <c r="H103" s="577"/>
      <c r="I103" s="577"/>
      <c r="J103" s="577"/>
      <c r="K103" s="577"/>
      <c r="L103" s="577"/>
      <c r="M103" s="38"/>
      <c r="N103" s="403" t="str">
        <f t="shared" si="29"/>
        <v/>
      </c>
      <c r="O103" s="404" t="str">
        <f t="shared" si="30"/>
        <v/>
      </c>
      <c r="P103" s="403" t="str">
        <f t="shared" si="31"/>
        <v/>
      </c>
      <c r="Q103" s="405" t="str">
        <f t="shared" si="32"/>
        <v/>
      </c>
      <c r="R103" s="406" t="str">
        <f t="shared" si="33"/>
        <v/>
      </c>
      <c r="S103" s="404" t="str">
        <f t="shared" si="34"/>
        <v/>
      </c>
      <c r="T103" s="403" t="str">
        <f t="shared" si="35"/>
        <v/>
      </c>
      <c r="U103" s="405" t="str">
        <f t="shared" si="36"/>
        <v/>
      </c>
      <c r="V103" s="406" t="str">
        <f t="shared" si="37"/>
        <v/>
      </c>
      <c r="W103" s="404" t="str">
        <f t="shared" si="38"/>
        <v/>
      </c>
      <c r="X103" s="403" t="str">
        <f t="shared" si="39"/>
        <v/>
      </c>
      <c r="Y103" s="405" t="str">
        <f t="shared" si="40"/>
        <v/>
      </c>
      <c r="Z103" s="406" t="str">
        <f t="shared" si="41"/>
        <v/>
      </c>
      <c r="AA103" s="404" t="str">
        <f t="shared" si="42"/>
        <v/>
      </c>
      <c r="AB103" s="403" t="str">
        <f t="shared" si="43"/>
        <v/>
      </c>
      <c r="AC103" s="405" t="str">
        <f t="shared" si="44"/>
        <v/>
      </c>
      <c r="AD103" s="406" t="str">
        <f t="shared" si="45"/>
        <v/>
      </c>
      <c r="AE103" s="404" t="str">
        <f t="shared" si="46"/>
        <v/>
      </c>
      <c r="AF103" s="403" t="str">
        <f t="shared" si="47"/>
        <v/>
      </c>
      <c r="AG103" s="405" t="str">
        <f t="shared" si="48"/>
        <v/>
      </c>
      <c r="AH103" s="406" t="str">
        <f t="shared" si="49"/>
        <v/>
      </c>
      <c r="AI103" s="404" t="str">
        <f t="shared" si="50"/>
        <v/>
      </c>
      <c r="AJ103" s="403" t="str">
        <f t="shared" si="51"/>
        <v/>
      </c>
      <c r="AK103" s="407" t="str">
        <f t="shared" si="52"/>
        <v/>
      </c>
      <c r="AL103" s="408" t="str">
        <f t="shared" si="53"/>
        <v/>
      </c>
      <c r="AM103" s="404" t="str">
        <f t="shared" si="54"/>
        <v/>
      </c>
      <c r="AN103" s="38"/>
    </row>
    <row r="104" spans="1:40" ht="12.75" x14ac:dyDescent="0.2">
      <c r="A104" s="26"/>
      <c r="B104" s="38"/>
      <c r="C104" s="296" t="s">
        <v>306</v>
      </c>
      <c r="D104" s="296" t="str">
        <f>IF('WK2 - Notional General Income'!C51="","",'WK2 - Notional General Income'!C51)</f>
        <v/>
      </c>
      <c r="E104" s="406" t="str">
        <f>IF('WK2 - Notional General Income'!L51="","",'WK2 - Notional General Income'!L51/'WK2 - Notional General Income'!D51)</f>
        <v/>
      </c>
      <c r="F104" s="406" t="str">
        <f>IF('WK3 - Notional GI 15-16 YIELD'!L49="","",'WK3 - Notional GI 15-16 YIELD'!L49/'WK3 - Notional GI 15-16 YIELD'!D49)</f>
        <v/>
      </c>
      <c r="G104" s="577"/>
      <c r="H104" s="577"/>
      <c r="I104" s="577"/>
      <c r="J104" s="577"/>
      <c r="K104" s="577"/>
      <c r="L104" s="577"/>
      <c r="M104" s="38"/>
      <c r="N104" s="403" t="str">
        <f t="shared" si="29"/>
        <v/>
      </c>
      <c r="O104" s="404" t="str">
        <f t="shared" si="30"/>
        <v/>
      </c>
      <c r="P104" s="403" t="str">
        <f t="shared" si="31"/>
        <v/>
      </c>
      <c r="Q104" s="405" t="str">
        <f t="shared" si="32"/>
        <v/>
      </c>
      <c r="R104" s="406" t="str">
        <f t="shared" si="33"/>
        <v/>
      </c>
      <c r="S104" s="404" t="str">
        <f t="shared" si="34"/>
        <v/>
      </c>
      <c r="T104" s="403" t="str">
        <f t="shared" si="35"/>
        <v/>
      </c>
      <c r="U104" s="405" t="str">
        <f t="shared" si="36"/>
        <v/>
      </c>
      <c r="V104" s="406" t="str">
        <f t="shared" si="37"/>
        <v/>
      </c>
      <c r="W104" s="404" t="str">
        <f t="shared" si="38"/>
        <v/>
      </c>
      <c r="X104" s="403" t="str">
        <f t="shared" si="39"/>
        <v/>
      </c>
      <c r="Y104" s="405" t="str">
        <f t="shared" si="40"/>
        <v/>
      </c>
      <c r="Z104" s="406" t="str">
        <f t="shared" si="41"/>
        <v/>
      </c>
      <c r="AA104" s="404" t="str">
        <f t="shared" si="42"/>
        <v/>
      </c>
      <c r="AB104" s="403" t="str">
        <f t="shared" si="43"/>
        <v/>
      </c>
      <c r="AC104" s="405" t="str">
        <f t="shared" si="44"/>
        <v/>
      </c>
      <c r="AD104" s="406" t="str">
        <f t="shared" si="45"/>
        <v/>
      </c>
      <c r="AE104" s="404" t="str">
        <f t="shared" si="46"/>
        <v/>
      </c>
      <c r="AF104" s="403" t="str">
        <f t="shared" si="47"/>
        <v/>
      </c>
      <c r="AG104" s="405" t="str">
        <f t="shared" si="48"/>
        <v/>
      </c>
      <c r="AH104" s="406" t="str">
        <f t="shared" si="49"/>
        <v/>
      </c>
      <c r="AI104" s="404" t="str">
        <f t="shared" si="50"/>
        <v/>
      </c>
      <c r="AJ104" s="403" t="str">
        <f t="shared" si="51"/>
        <v/>
      </c>
      <c r="AK104" s="407" t="str">
        <f t="shared" si="52"/>
        <v/>
      </c>
      <c r="AL104" s="408" t="str">
        <f t="shared" si="53"/>
        <v/>
      </c>
      <c r="AM104" s="404" t="str">
        <f t="shared" si="54"/>
        <v/>
      </c>
      <c r="AN104" s="38"/>
    </row>
    <row r="105" spans="1:40" ht="12.75" x14ac:dyDescent="0.2">
      <c r="A105" s="26"/>
      <c r="B105" s="38"/>
      <c r="C105" s="296" t="s">
        <v>306</v>
      </c>
      <c r="D105" s="296" t="str">
        <f>IF('WK2 - Notional General Income'!C52="","",'WK2 - Notional General Income'!C52)</f>
        <v/>
      </c>
      <c r="E105" s="406" t="str">
        <f>IF('WK2 - Notional General Income'!L52="","",'WK2 - Notional General Income'!L52/'WK2 - Notional General Income'!D52)</f>
        <v/>
      </c>
      <c r="F105" s="406" t="str">
        <f>IF('WK3 - Notional GI 15-16 YIELD'!L50="","",'WK3 - Notional GI 15-16 YIELD'!L50/'WK3 - Notional GI 15-16 YIELD'!D50)</f>
        <v/>
      </c>
      <c r="G105" s="577"/>
      <c r="H105" s="577"/>
      <c r="I105" s="577"/>
      <c r="J105" s="577"/>
      <c r="K105" s="577"/>
      <c r="L105" s="577"/>
      <c r="M105" s="38"/>
      <c r="N105" s="403" t="str">
        <f t="shared" si="29"/>
        <v/>
      </c>
      <c r="O105" s="404" t="str">
        <f t="shared" si="30"/>
        <v/>
      </c>
      <c r="P105" s="403" t="str">
        <f t="shared" si="31"/>
        <v/>
      </c>
      <c r="Q105" s="405" t="str">
        <f t="shared" si="32"/>
        <v/>
      </c>
      <c r="R105" s="406" t="str">
        <f t="shared" si="33"/>
        <v/>
      </c>
      <c r="S105" s="404" t="str">
        <f t="shared" si="34"/>
        <v/>
      </c>
      <c r="T105" s="403" t="str">
        <f t="shared" si="35"/>
        <v/>
      </c>
      <c r="U105" s="405" t="str">
        <f t="shared" si="36"/>
        <v/>
      </c>
      <c r="V105" s="406" t="str">
        <f t="shared" si="37"/>
        <v/>
      </c>
      <c r="W105" s="404" t="str">
        <f t="shared" si="38"/>
        <v/>
      </c>
      <c r="X105" s="403" t="str">
        <f t="shared" si="39"/>
        <v/>
      </c>
      <c r="Y105" s="405" t="str">
        <f t="shared" si="40"/>
        <v/>
      </c>
      <c r="Z105" s="406" t="str">
        <f t="shared" si="41"/>
        <v/>
      </c>
      <c r="AA105" s="404" t="str">
        <f t="shared" si="42"/>
        <v/>
      </c>
      <c r="AB105" s="403" t="str">
        <f t="shared" si="43"/>
        <v/>
      </c>
      <c r="AC105" s="405" t="str">
        <f t="shared" si="44"/>
        <v/>
      </c>
      <c r="AD105" s="406" t="str">
        <f t="shared" si="45"/>
        <v/>
      </c>
      <c r="AE105" s="404" t="str">
        <f t="shared" si="46"/>
        <v/>
      </c>
      <c r="AF105" s="403" t="str">
        <f t="shared" si="47"/>
        <v/>
      </c>
      <c r="AG105" s="405" t="str">
        <f t="shared" si="48"/>
        <v/>
      </c>
      <c r="AH105" s="406" t="str">
        <f t="shared" si="49"/>
        <v/>
      </c>
      <c r="AI105" s="404" t="str">
        <f t="shared" si="50"/>
        <v/>
      </c>
      <c r="AJ105" s="403" t="str">
        <f t="shared" si="51"/>
        <v/>
      </c>
      <c r="AK105" s="407" t="str">
        <f t="shared" si="52"/>
        <v/>
      </c>
      <c r="AL105" s="408" t="str">
        <f t="shared" si="53"/>
        <v/>
      </c>
      <c r="AM105" s="404" t="str">
        <f t="shared" si="54"/>
        <v/>
      </c>
      <c r="AN105" s="38"/>
    </row>
    <row r="106" spans="1:40" ht="12.75" x14ac:dyDescent="0.2">
      <c r="A106" s="26"/>
      <c r="B106" s="38"/>
      <c r="C106" s="296" t="s">
        <v>306</v>
      </c>
      <c r="D106" s="296" t="str">
        <f>IF('WK2 - Notional General Income'!C53="","",'WK2 - Notional General Income'!C53)</f>
        <v/>
      </c>
      <c r="E106" s="406" t="str">
        <f>IF('WK2 - Notional General Income'!L53="","",'WK2 - Notional General Income'!L53/'WK2 - Notional General Income'!D53)</f>
        <v/>
      </c>
      <c r="F106" s="406" t="str">
        <f>IF('WK3 - Notional GI 15-16 YIELD'!L51="","",'WK3 - Notional GI 15-16 YIELD'!L51/'WK3 - Notional GI 15-16 YIELD'!D51)</f>
        <v/>
      </c>
      <c r="G106" s="577"/>
      <c r="H106" s="577"/>
      <c r="I106" s="577"/>
      <c r="J106" s="577"/>
      <c r="K106" s="577"/>
      <c r="L106" s="577"/>
      <c r="M106" s="38"/>
      <c r="N106" s="403" t="str">
        <f t="shared" si="29"/>
        <v/>
      </c>
      <c r="O106" s="404" t="str">
        <f t="shared" si="30"/>
        <v/>
      </c>
      <c r="P106" s="403" t="str">
        <f t="shared" si="31"/>
        <v/>
      </c>
      <c r="Q106" s="405" t="str">
        <f t="shared" si="32"/>
        <v/>
      </c>
      <c r="R106" s="406" t="str">
        <f t="shared" si="33"/>
        <v/>
      </c>
      <c r="S106" s="404" t="str">
        <f t="shared" si="34"/>
        <v/>
      </c>
      <c r="T106" s="403" t="str">
        <f t="shared" si="35"/>
        <v/>
      </c>
      <c r="U106" s="405" t="str">
        <f t="shared" si="36"/>
        <v/>
      </c>
      <c r="V106" s="406" t="str">
        <f t="shared" si="37"/>
        <v/>
      </c>
      <c r="W106" s="404" t="str">
        <f t="shared" si="38"/>
        <v/>
      </c>
      <c r="X106" s="403" t="str">
        <f t="shared" si="39"/>
        <v/>
      </c>
      <c r="Y106" s="405" t="str">
        <f t="shared" si="40"/>
        <v/>
      </c>
      <c r="Z106" s="406" t="str">
        <f t="shared" si="41"/>
        <v/>
      </c>
      <c r="AA106" s="404" t="str">
        <f t="shared" si="42"/>
        <v/>
      </c>
      <c r="AB106" s="403" t="str">
        <f t="shared" si="43"/>
        <v/>
      </c>
      <c r="AC106" s="405" t="str">
        <f t="shared" si="44"/>
        <v/>
      </c>
      <c r="AD106" s="406" t="str">
        <f t="shared" si="45"/>
        <v/>
      </c>
      <c r="AE106" s="404" t="str">
        <f t="shared" si="46"/>
        <v/>
      </c>
      <c r="AF106" s="403" t="str">
        <f t="shared" si="47"/>
        <v/>
      </c>
      <c r="AG106" s="405" t="str">
        <f t="shared" si="48"/>
        <v/>
      </c>
      <c r="AH106" s="406" t="str">
        <f t="shared" si="49"/>
        <v/>
      </c>
      <c r="AI106" s="404" t="str">
        <f t="shared" si="50"/>
        <v/>
      </c>
      <c r="AJ106" s="403" t="str">
        <f t="shared" si="51"/>
        <v/>
      </c>
      <c r="AK106" s="407" t="str">
        <f t="shared" si="52"/>
        <v/>
      </c>
      <c r="AL106" s="408" t="str">
        <f t="shared" si="53"/>
        <v/>
      </c>
      <c r="AM106" s="404" t="str">
        <f t="shared" si="54"/>
        <v/>
      </c>
      <c r="AN106" s="38"/>
    </row>
    <row r="107" spans="1:40" ht="12.75" x14ac:dyDescent="0.2">
      <c r="A107" s="26"/>
      <c r="B107" s="38"/>
      <c r="C107" s="296" t="s">
        <v>306</v>
      </c>
      <c r="D107" s="296" t="str">
        <f>IF('WK2 - Notional General Income'!C54="","",'WK2 - Notional General Income'!C54)</f>
        <v/>
      </c>
      <c r="E107" s="406" t="str">
        <f>IF('WK2 - Notional General Income'!L54="","",'WK2 - Notional General Income'!L54/'WK2 - Notional General Income'!D54)</f>
        <v/>
      </c>
      <c r="F107" s="406" t="str">
        <f>IF('WK3 - Notional GI 15-16 YIELD'!L52="","",'WK3 - Notional GI 15-16 YIELD'!L52/'WK3 - Notional GI 15-16 YIELD'!D52)</f>
        <v/>
      </c>
      <c r="G107" s="577"/>
      <c r="H107" s="577"/>
      <c r="I107" s="577"/>
      <c r="J107" s="577"/>
      <c r="K107" s="577"/>
      <c r="L107" s="577"/>
      <c r="M107" s="38"/>
      <c r="N107" s="403" t="str">
        <f t="shared" si="29"/>
        <v/>
      </c>
      <c r="O107" s="404" t="str">
        <f t="shared" si="30"/>
        <v/>
      </c>
      <c r="P107" s="403" t="str">
        <f t="shared" si="31"/>
        <v/>
      </c>
      <c r="Q107" s="405" t="str">
        <f t="shared" si="32"/>
        <v/>
      </c>
      <c r="R107" s="406" t="str">
        <f t="shared" si="33"/>
        <v/>
      </c>
      <c r="S107" s="404" t="str">
        <f t="shared" si="34"/>
        <v/>
      </c>
      <c r="T107" s="403" t="str">
        <f t="shared" si="35"/>
        <v/>
      </c>
      <c r="U107" s="405" t="str">
        <f t="shared" si="36"/>
        <v/>
      </c>
      <c r="V107" s="406" t="str">
        <f t="shared" si="37"/>
        <v/>
      </c>
      <c r="W107" s="404" t="str">
        <f t="shared" si="38"/>
        <v/>
      </c>
      <c r="X107" s="403" t="str">
        <f t="shared" si="39"/>
        <v/>
      </c>
      <c r="Y107" s="405" t="str">
        <f t="shared" si="40"/>
        <v/>
      </c>
      <c r="Z107" s="406" t="str">
        <f t="shared" si="41"/>
        <v/>
      </c>
      <c r="AA107" s="404" t="str">
        <f t="shared" si="42"/>
        <v/>
      </c>
      <c r="AB107" s="403" t="str">
        <f t="shared" si="43"/>
        <v/>
      </c>
      <c r="AC107" s="405" t="str">
        <f t="shared" si="44"/>
        <v/>
      </c>
      <c r="AD107" s="406" t="str">
        <f t="shared" si="45"/>
        <v/>
      </c>
      <c r="AE107" s="404" t="str">
        <f t="shared" si="46"/>
        <v/>
      </c>
      <c r="AF107" s="403" t="str">
        <f t="shared" si="47"/>
        <v/>
      </c>
      <c r="AG107" s="405" t="str">
        <f t="shared" si="48"/>
        <v/>
      </c>
      <c r="AH107" s="406" t="str">
        <f t="shared" si="49"/>
        <v/>
      </c>
      <c r="AI107" s="404" t="str">
        <f t="shared" si="50"/>
        <v/>
      </c>
      <c r="AJ107" s="403" t="str">
        <f t="shared" si="51"/>
        <v/>
      </c>
      <c r="AK107" s="407" t="str">
        <f t="shared" si="52"/>
        <v/>
      </c>
      <c r="AL107" s="408" t="str">
        <f t="shared" si="53"/>
        <v/>
      </c>
      <c r="AM107" s="404" t="str">
        <f t="shared" si="54"/>
        <v/>
      </c>
      <c r="AN107" s="38"/>
    </row>
    <row r="108" spans="1:40" ht="12.75" x14ac:dyDescent="0.2">
      <c r="A108" s="26"/>
      <c r="B108" s="38"/>
      <c r="C108" s="296" t="s">
        <v>306</v>
      </c>
      <c r="D108" s="296" t="str">
        <f>IF('WK2 - Notional General Income'!C55="","",'WK2 - Notional General Income'!C55)</f>
        <v/>
      </c>
      <c r="E108" s="406" t="str">
        <f>IF('WK2 - Notional General Income'!L55="","",'WK2 - Notional General Income'!L55/'WK2 - Notional General Income'!D55)</f>
        <v/>
      </c>
      <c r="F108" s="406" t="str">
        <f>IF('WK3 - Notional GI 15-16 YIELD'!L53="","",'WK3 - Notional GI 15-16 YIELD'!L53/'WK3 - Notional GI 15-16 YIELD'!D53)</f>
        <v/>
      </c>
      <c r="G108" s="577"/>
      <c r="H108" s="577"/>
      <c r="I108" s="577"/>
      <c r="J108" s="577"/>
      <c r="K108" s="577"/>
      <c r="L108" s="577"/>
      <c r="M108" s="38"/>
      <c r="N108" s="403" t="str">
        <f t="shared" si="29"/>
        <v/>
      </c>
      <c r="O108" s="404" t="str">
        <f t="shared" si="30"/>
        <v/>
      </c>
      <c r="P108" s="403" t="str">
        <f t="shared" si="31"/>
        <v/>
      </c>
      <c r="Q108" s="405" t="str">
        <f t="shared" si="32"/>
        <v/>
      </c>
      <c r="R108" s="406" t="str">
        <f t="shared" si="33"/>
        <v/>
      </c>
      <c r="S108" s="404" t="str">
        <f t="shared" si="34"/>
        <v/>
      </c>
      <c r="T108" s="403" t="str">
        <f t="shared" si="35"/>
        <v/>
      </c>
      <c r="U108" s="405" t="str">
        <f t="shared" si="36"/>
        <v/>
      </c>
      <c r="V108" s="406" t="str">
        <f t="shared" si="37"/>
        <v/>
      </c>
      <c r="W108" s="404" t="str">
        <f t="shared" si="38"/>
        <v/>
      </c>
      <c r="X108" s="403" t="str">
        <f t="shared" si="39"/>
        <v/>
      </c>
      <c r="Y108" s="405" t="str">
        <f t="shared" si="40"/>
        <v/>
      </c>
      <c r="Z108" s="406" t="str">
        <f t="shared" si="41"/>
        <v/>
      </c>
      <c r="AA108" s="404" t="str">
        <f t="shared" si="42"/>
        <v/>
      </c>
      <c r="AB108" s="403" t="str">
        <f t="shared" si="43"/>
        <v/>
      </c>
      <c r="AC108" s="405" t="str">
        <f t="shared" si="44"/>
        <v/>
      </c>
      <c r="AD108" s="406" t="str">
        <f t="shared" si="45"/>
        <v/>
      </c>
      <c r="AE108" s="404" t="str">
        <f t="shared" si="46"/>
        <v/>
      </c>
      <c r="AF108" s="403" t="str">
        <f t="shared" si="47"/>
        <v/>
      </c>
      <c r="AG108" s="405" t="str">
        <f t="shared" si="48"/>
        <v/>
      </c>
      <c r="AH108" s="406" t="str">
        <f t="shared" si="49"/>
        <v/>
      </c>
      <c r="AI108" s="404" t="str">
        <f t="shared" si="50"/>
        <v/>
      </c>
      <c r="AJ108" s="403" t="str">
        <f t="shared" si="51"/>
        <v/>
      </c>
      <c r="AK108" s="407" t="str">
        <f t="shared" si="52"/>
        <v/>
      </c>
      <c r="AL108" s="408" t="str">
        <f t="shared" si="53"/>
        <v/>
      </c>
      <c r="AM108" s="404" t="str">
        <f t="shared" si="54"/>
        <v/>
      </c>
      <c r="AN108" s="38"/>
    </row>
    <row r="109" spans="1:40" ht="12.75" x14ac:dyDescent="0.2">
      <c r="A109" s="26"/>
      <c r="B109" s="38"/>
      <c r="C109" s="296" t="s">
        <v>306</v>
      </c>
      <c r="D109" s="296" t="str">
        <f>IF('WK2 - Notional General Income'!C56="","",'WK2 - Notional General Income'!C56)</f>
        <v/>
      </c>
      <c r="E109" s="406" t="str">
        <f>IF('WK2 - Notional General Income'!L56="","",'WK2 - Notional General Income'!L56/'WK2 - Notional General Income'!D56)</f>
        <v/>
      </c>
      <c r="F109" s="406" t="str">
        <f>IF('WK3 - Notional GI 15-16 YIELD'!L54="","",'WK3 - Notional GI 15-16 YIELD'!L54/'WK3 - Notional GI 15-16 YIELD'!D54)</f>
        <v/>
      </c>
      <c r="G109" s="577"/>
      <c r="H109" s="577"/>
      <c r="I109" s="577"/>
      <c r="J109" s="577"/>
      <c r="K109" s="577"/>
      <c r="L109" s="577"/>
      <c r="M109" s="38"/>
      <c r="N109" s="403" t="str">
        <f t="shared" si="29"/>
        <v/>
      </c>
      <c r="O109" s="404" t="str">
        <f t="shared" si="30"/>
        <v/>
      </c>
      <c r="P109" s="403" t="str">
        <f t="shared" si="31"/>
        <v/>
      </c>
      <c r="Q109" s="405" t="str">
        <f t="shared" si="32"/>
        <v/>
      </c>
      <c r="R109" s="406" t="str">
        <f t="shared" si="33"/>
        <v/>
      </c>
      <c r="S109" s="404" t="str">
        <f t="shared" si="34"/>
        <v/>
      </c>
      <c r="T109" s="403" t="str">
        <f t="shared" si="35"/>
        <v/>
      </c>
      <c r="U109" s="405" t="str">
        <f t="shared" si="36"/>
        <v/>
      </c>
      <c r="V109" s="406" t="str">
        <f t="shared" si="37"/>
        <v/>
      </c>
      <c r="W109" s="404" t="str">
        <f t="shared" si="38"/>
        <v/>
      </c>
      <c r="X109" s="403" t="str">
        <f t="shared" si="39"/>
        <v/>
      </c>
      <c r="Y109" s="405" t="str">
        <f t="shared" si="40"/>
        <v/>
      </c>
      <c r="Z109" s="406" t="str">
        <f t="shared" si="41"/>
        <v/>
      </c>
      <c r="AA109" s="404" t="str">
        <f t="shared" si="42"/>
        <v/>
      </c>
      <c r="AB109" s="403" t="str">
        <f t="shared" si="43"/>
        <v/>
      </c>
      <c r="AC109" s="405" t="str">
        <f t="shared" si="44"/>
        <v/>
      </c>
      <c r="AD109" s="406" t="str">
        <f t="shared" si="45"/>
        <v/>
      </c>
      <c r="AE109" s="404" t="str">
        <f t="shared" si="46"/>
        <v/>
      </c>
      <c r="AF109" s="403" t="str">
        <f t="shared" si="47"/>
        <v/>
      </c>
      <c r="AG109" s="405" t="str">
        <f t="shared" si="48"/>
        <v/>
      </c>
      <c r="AH109" s="406" t="str">
        <f t="shared" si="49"/>
        <v/>
      </c>
      <c r="AI109" s="404" t="str">
        <f t="shared" si="50"/>
        <v/>
      </c>
      <c r="AJ109" s="403" t="str">
        <f t="shared" si="51"/>
        <v/>
      </c>
      <c r="AK109" s="407" t="str">
        <f t="shared" si="52"/>
        <v/>
      </c>
      <c r="AL109" s="408" t="str">
        <f t="shared" si="53"/>
        <v/>
      </c>
      <c r="AM109" s="404" t="str">
        <f t="shared" si="54"/>
        <v/>
      </c>
      <c r="AN109" s="38"/>
    </row>
    <row r="110" spans="1:40" ht="12.75" x14ac:dyDescent="0.2">
      <c r="A110" s="26"/>
      <c r="B110" s="38"/>
      <c r="C110" s="296" t="s">
        <v>306</v>
      </c>
      <c r="D110" s="296" t="str">
        <f>IF('WK2 - Notional General Income'!C57="","",'WK2 - Notional General Income'!C57)</f>
        <v/>
      </c>
      <c r="E110" s="406" t="str">
        <f>IF('WK2 - Notional General Income'!L57="","",'WK2 - Notional General Income'!L57/'WK2 - Notional General Income'!D57)</f>
        <v/>
      </c>
      <c r="F110" s="406" t="str">
        <f>IF('WK3 - Notional GI 15-16 YIELD'!L55="","",'WK3 - Notional GI 15-16 YIELD'!L55/'WK3 - Notional GI 15-16 YIELD'!D55)</f>
        <v/>
      </c>
      <c r="G110" s="577"/>
      <c r="H110" s="577"/>
      <c r="I110" s="577"/>
      <c r="J110" s="577"/>
      <c r="K110" s="577"/>
      <c r="L110" s="577"/>
      <c r="M110" s="38"/>
      <c r="N110" s="403" t="str">
        <f t="shared" si="29"/>
        <v/>
      </c>
      <c r="O110" s="404" t="str">
        <f t="shared" si="30"/>
        <v/>
      </c>
      <c r="P110" s="403" t="str">
        <f t="shared" si="31"/>
        <v/>
      </c>
      <c r="Q110" s="405" t="str">
        <f t="shared" si="32"/>
        <v/>
      </c>
      <c r="R110" s="406" t="str">
        <f t="shared" si="33"/>
        <v/>
      </c>
      <c r="S110" s="404" t="str">
        <f t="shared" si="34"/>
        <v/>
      </c>
      <c r="T110" s="403" t="str">
        <f t="shared" si="35"/>
        <v/>
      </c>
      <c r="U110" s="405" t="str">
        <f t="shared" si="36"/>
        <v/>
      </c>
      <c r="V110" s="406" t="str">
        <f t="shared" si="37"/>
        <v/>
      </c>
      <c r="W110" s="404" t="str">
        <f t="shared" si="38"/>
        <v/>
      </c>
      <c r="X110" s="403" t="str">
        <f t="shared" si="39"/>
        <v/>
      </c>
      <c r="Y110" s="405" t="str">
        <f t="shared" si="40"/>
        <v/>
      </c>
      <c r="Z110" s="406" t="str">
        <f t="shared" si="41"/>
        <v/>
      </c>
      <c r="AA110" s="404" t="str">
        <f t="shared" si="42"/>
        <v/>
      </c>
      <c r="AB110" s="403" t="str">
        <f t="shared" si="43"/>
        <v/>
      </c>
      <c r="AC110" s="405" t="str">
        <f t="shared" si="44"/>
        <v/>
      </c>
      <c r="AD110" s="406" t="str">
        <f t="shared" si="45"/>
        <v/>
      </c>
      <c r="AE110" s="404" t="str">
        <f t="shared" si="46"/>
        <v/>
      </c>
      <c r="AF110" s="403" t="str">
        <f t="shared" si="47"/>
        <v/>
      </c>
      <c r="AG110" s="405" t="str">
        <f t="shared" si="48"/>
        <v/>
      </c>
      <c r="AH110" s="406" t="str">
        <f t="shared" si="49"/>
        <v/>
      </c>
      <c r="AI110" s="404" t="str">
        <f t="shared" si="50"/>
        <v/>
      </c>
      <c r="AJ110" s="403" t="str">
        <f t="shared" si="51"/>
        <v/>
      </c>
      <c r="AK110" s="407" t="str">
        <f t="shared" si="52"/>
        <v/>
      </c>
      <c r="AL110" s="408" t="str">
        <f t="shared" si="53"/>
        <v/>
      </c>
      <c r="AM110" s="404" t="str">
        <f t="shared" si="54"/>
        <v/>
      </c>
      <c r="AN110" s="38"/>
    </row>
    <row r="111" spans="1:40" ht="12.75" x14ac:dyDescent="0.2">
      <c r="A111" s="26"/>
      <c r="B111" s="38"/>
      <c r="C111" s="296" t="s">
        <v>306</v>
      </c>
      <c r="D111" s="296" t="str">
        <f>IF('WK2 - Notional General Income'!C58="","",'WK2 - Notional General Income'!C58)</f>
        <v/>
      </c>
      <c r="E111" s="406" t="str">
        <f>IF('WK2 - Notional General Income'!L58="","",'WK2 - Notional General Income'!L58/'WK2 - Notional General Income'!D58)</f>
        <v/>
      </c>
      <c r="F111" s="406" t="str">
        <f>IF('WK3 - Notional GI 15-16 YIELD'!L56="","",'WK3 - Notional GI 15-16 YIELD'!L56/'WK3 - Notional GI 15-16 YIELD'!D56)</f>
        <v/>
      </c>
      <c r="G111" s="577"/>
      <c r="H111" s="577"/>
      <c r="I111" s="577"/>
      <c r="J111" s="577"/>
      <c r="K111" s="577"/>
      <c r="L111" s="577"/>
      <c r="M111" s="38"/>
      <c r="N111" s="403" t="str">
        <f t="shared" si="29"/>
        <v/>
      </c>
      <c r="O111" s="404" t="str">
        <f t="shared" si="30"/>
        <v/>
      </c>
      <c r="P111" s="403" t="str">
        <f t="shared" si="31"/>
        <v/>
      </c>
      <c r="Q111" s="405" t="str">
        <f t="shared" si="32"/>
        <v/>
      </c>
      <c r="R111" s="406" t="str">
        <f t="shared" si="33"/>
        <v/>
      </c>
      <c r="S111" s="404" t="str">
        <f t="shared" si="34"/>
        <v/>
      </c>
      <c r="T111" s="403" t="str">
        <f t="shared" si="35"/>
        <v/>
      </c>
      <c r="U111" s="405" t="str">
        <f t="shared" si="36"/>
        <v/>
      </c>
      <c r="V111" s="406" t="str">
        <f t="shared" si="37"/>
        <v/>
      </c>
      <c r="W111" s="404" t="str">
        <f t="shared" si="38"/>
        <v/>
      </c>
      <c r="X111" s="403" t="str">
        <f t="shared" si="39"/>
        <v/>
      </c>
      <c r="Y111" s="405" t="str">
        <f t="shared" si="40"/>
        <v/>
      </c>
      <c r="Z111" s="406" t="str">
        <f t="shared" si="41"/>
        <v/>
      </c>
      <c r="AA111" s="404" t="str">
        <f t="shared" si="42"/>
        <v/>
      </c>
      <c r="AB111" s="403" t="str">
        <f t="shared" si="43"/>
        <v/>
      </c>
      <c r="AC111" s="405" t="str">
        <f t="shared" si="44"/>
        <v/>
      </c>
      <c r="AD111" s="406" t="str">
        <f t="shared" si="45"/>
        <v/>
      </c>
      <c r="AE111" s="404" t="str">
        <f t="shared" si="46"/>
        <v/>
      </c>
      <c r="AF111" s="403" t="str">
        <f t="shared" si="47"/>
        <v/>
      </c>
      <c r="AG111" s="405" t="str">
        <f t="shared" si="48"/>
        <v/>
      </c>
      <c r="AH111" s="406" t="str">
        <f t="shared" si="49"/>
        <v/>
      </c>
      <c r="AI111" s="404" t="str">
        <f t="shared" si="50"/>
        <v/>
      </c>
      <c r="AJ111" s="403" t="str">
        <f t="shared" si="51"/>
        <v/>
      </c>
      <c r="AK111" s="407" t="str">
        <f t="shared" si="52"/>
        <v/>
      </c>
      <c r="AL111" s="408" t="str">
        <f t="shared" si="53"/>
        <v/>
      </c>
      <c r="AM111" s="404" t="str">
        <f t="shared" si="54"/>
        <v/>
      </c>
      <c r="AN111" s="38"/>
    </row>
    <row r="112" spans="1:40" ht="12.75" x14ac:dyDescent="0.2">
      <c r="A112" s="26"/>
      <c r="B112" s="38"/>
      <c r="C112" s="296" t="s">
        <v>306</v>
      </c>
      <c r="D112" s="296" t="str">
        <f>IF('WK2 - Notional General Income'!C59="","",'WK2 - Notional General Income'!C59)</f>
        <v/>
      </c>
      <c r="E112" s="406" t="str">
        <f>IF('WK2 - Notional General Income'!L59="","",'WK2 - Notional General Income'!L59/'WK2 - Notional General Income'!D59)</f>
        <v/>
      </c>
      <c r="F112" s="406" t="str">
        <f>IF('WK3 - Notional GI 15-16 YIELD'!L57="","",'WK3 - Notional GI 15-16 YIELD'!L57/'WK3 - Notional GI 15-16 YIELD'!D57)</f>
        <v/>
      </c>
      <c r="G112" s="577"/>
      <c r="H112" s="577"/>
      <c r="I112" s="577"/>
      <c r="J112" s="577"/>
      <c r="K112" s="577"/>
      <c r="L112" s="577"/>
      <c r="M112" s="38"/>
      <c r="N112" s="403" t="str">
        <f t="shared" si="29"/>
        <v/>
      </c>
      <c r="O112" s="404" t="str">
        <f t="shared" si="30"/>
        <v/>
      </c>
      <c r="P112" s="403" t="str">
        <f t="shared" si="31"/>
        <v/>
      </c>
      <c r="Q112" s="405" t="str">
        <f t="shared" si="32"/>
        <v/>
      </c>
      <c r="R112" s="406" t="str">
        <f t="shared" si="33"/>
        <v/>
      </c>
      <c r="S112" s="404" t="str">
        <f t="shared" si="34"/>
        <v/>
      </c>
      <c r="T112" s="403" t="str">
        <f t="shared" si="35"/>
        <v/>
      </c>
      <c r="U112" s="405" t="str">
        <f t="shared" si="36"/>
        <v/>
      </c>
      <c r="V112" s="406" t="str">
        <f t="shared" si="37"/>
        <v/>
      </c>
      <c r="W112" s="404" t="str">
        <f t="shared" si="38"/>
        <v/>
      </c>
      <c r="X112" s="403" t="str">
        <f t="shared" si="39"/>
        <v/>
      </c>
      <c r="Y112" s="405" t="str">
        <f t="shared" si="40"/>
        <v/>
      </c>
      <c r="Z112" s="406" t="str">
        <f t="shared" si="41"/>
        <v/>
      </c>
      <c r="AA112" s="404" t="str">
        <f t="shared" si="42"/>
        <v/>
      </c>
      <c r="AB112" s="403" t="str">
        <f t="shared" si="43"/>
        <v/>
      </c>
      <c r="AC112" s="405" t="str">
        <f t="shared" si="44"/>
        <v/>
      </c>
      <c r="AD112" s="406" t="str">
        <f t="shared" si="45"/>
        <v/>
      </c>
      <c r="AE112" s="404" t="str">
        <f t="shared" si="46"/>
        <v/>
      </c>
      <c r="AF112" s="403" t="str">
        <f t="shared" si="47"/>
        <v/>
      </c>
      <c r="AG112" s="405" t="str">
        <f t="shared" si="48"/>
        <v/>
      </c>
      <c r="AH112" s="406" t="str">
        <f t="shared" si="49"/>
        <v/>
      </c>
      <c r="AI112" s="404" t="str">
        <f t="shared" si="50"/>
        <v/>
      </c>
      <c r="AJ112" s="403" t="str">
        <f t="shared" si="51"/>
        <v/>
      </c>
      <c r="AK112" s="407" t="str">
        <f t="shared" si="52"/>
        <v/>
      </c>
      <c r="AL112" s="408" t="str">
        <f t="shared" si="53"/>
        <v/>
      </c>
      <c r="AM112" s="404" t="str">
        <f t="shared" si="54"/>
        <v/>
      </c>
      <c r="AN112" s="38"/>
    </row>
    <row r="113" spans="1:40" ht="12.75" x14ac:dyDescent="0.2">
      <c r="A113" s="26"/>
      <c r="B113" s="38"/>
      <c r="C113" s="296" t="s">
        <v>306</v>
      </c>
      <c r="D113" s="296" t="str">
        <f>IF('WK2 - Notional General Income'!C60="","",'WK2 - Notional General Income'!C60)</f>
        <v/>
      </c>
      <c r="E113" s="406" t="str">
        <f>IF('WK2 - Notional General Income'!L60="","",'WK2 - Notional General Income'!L60/'WK2 - Notional General Income'!D60)</f>
        <v/>
      </c>
      <c r="F113" s="406" t="str">
        <f>IF('WK3 - Notional GI 15-16 YIELD'!L58="","",'WK3 - Notional GI 15-16 YIELD'!L58/'WK3 - Notional GI 15-16 YIELD'!D58)</f>
        <v/>
      </c>
      <c r="G113" s="577"/>
      <c r="H113" s="577"/>
      <c r="I113" s="577"/>
      <c r="J113" s="577"/>
      <c r="K113" s="577"/>
      <c r="L113" s="577"/>
      <c r="M113" s="38"/>
      <c r="N113" s="403" t="str">
        <f t="shared" si="29"/>
        <v/>
      </c>
      <c r="O113" s="404" t="str">
        <f t="shared" si="30"/>
        <v/>
      </c>
      <c r="P113" s="403" t="str">
        <f t="shared" si="31"/>
        <v/>
      </c>
      <c r="Q113" s="405" t="str">
        <f t="shared" si="32"/>
        <v/>
      </c>
      <c r="R113" s="406" t="str">
        <f t="shared" si="33"/>
        <v/>
      </c>
      <c r="S113" s="404" t="str">
        <f t="shared" si="34"/>
        <v/>
      </c>
      <c r="T113" s="403" t="str">
        <f t="shared" si="35"/>
        <v/>
      </c>
      <c r="U113" s="405" t="str">
        <f t="shared" si="36"/>
        <v/>
      </c>
      <c r="V113" s="406" t="str">
        <f t="shared" si="37"/>
        <v/>
      </c>
      <c r="W113" s="404" t="str">
        <f t="shared" si="38"/>
        <v/>
      </c>
      <c r="X113" s="403" t="str">
        <f t="shared" si="39"/>
        <v/>
      </c>
      <c r="Y113" s="405" t="str">
        <f t="shared" si="40"/>
        <v/>
      </c>
      <c r="Z113" s="406" t="str">
        <f t="shared" si="41"/>
        <v/>
      </c>
      <c r="AA113" s="404" t="str">
        <f t="shared" si="42"/>
        <v/>
      </c>
      <c r="AB113" s="403" t="str">
        <f t="shared" si="43"/>
        <v/>
      </c>
      <c r="AC113" s="405" t="str">
        <f t="shared" si="44"/>
        <v/>
      </c>
      <c r="AD113" s="406" t="str">
        <f t="shared" si="45"/>
        <v/>
      </c>
      <c r="AE113" s="404" t="str">
        <f t="shared" si="46"/>
        <v/>
      </c>
      <c r="AF113" s="403" t="str">
        <f t="shared" si="47"/>
        <v/>
      </c>
      <c r="AG113" s="405" t="str">
        <f t="shared" si="48"/>
        <v/>
      </c>
      <c r="AH113" s="406" t="str">
        <f t="shared" si="49"/>
        <v/>
      </c>
      <c r="AI113" s="404" t="str">
        <f t="shared" si="50"/>
        <v/>
      </c>
      <c r="AJ113" s="403" t="str">
        <f t="shared" si="51"/>
        <v/>
      </c>
      <c r="AK113" s="407" t="str">
        <f t="shared" si="52"/>
        <v/>
      </c>
      <c r="AL113" s="408" t="str">
        <f t="shared" si="53"/>
        <v/>
      </c>
      <c r="AM113" s="404" t="str">
        <f t="shared" si="54"/>
        <v/>
      </c>
      <c r="AN113" s="38"/>
    </row>
    <row r="114" spans="1:40" ht="12.75" x14ac:dyDescent="0.2">
      <c r="A114" s="26"/>
      <c r="B114" s="38"/>
      <c r="C114" s="296" t="s">
        <v>637</v>
      </c>
      <c r="D114" s="296" t="str">
        <f>IF('WK2 - Notional General Income'!C103="","",'WK2 - Notional General Income'!C103)</f>
        <v>Jerberra Electricity Infrastructure</v>
      </c>
      <c r="E114" s="406">
        <f>IF('WK2 - Notional General Income'!L103="","",'WK2 - Notional General Income'!L103/'WK2 - Notional General Income'!D103)</f>
        <v>1.0000000000000001E-5</v>
      </c>
      <c r="F114" s="406">
        <f>IF('WK3 - Notional GI 15-16 YIELD'!L101="","",'WK3 - Notional GI 15-16 YIELD'!L101/'WK3 - Notional GI 15-16 YIELD'!D101)</f>
        <v>1754.0382016949152</v>
      </c>
      <c r="G114" s="577">
        <f>+F114*1.03</f>
        <v>1806.6593477457627</v>
      </c>
      <c r="H114" s="577">
        <f>+G114*1.03</f>
        <v>1860.8591281781357</v>
      </c>
      <c r="I114" s="577">
        <f>+H114*1.03</f>
        <v>1916.6849020234799</v>
      </c>
      <c r="J114" s="577">
        <f>+I114*1.03</f>
        <v>1974.1854490841845</v>
      </c>
      <c r="K114" s="577">
        <f>+J114*1.03</f>
        <v>2033.4110125567101</v>
      </c>
      <c r="L114" s="577">
        <f>+K114*1.03</f>
        <v>2094.4133429334115</v>
      </c>
      <c r="M114" s="38"/>
      <c r="N114" s="403">
        <f t="shared" si="29"/>
        <v>1754.0381916949152</v>
      </c>
      <c r="O114" s="404">
        <f t="shared" si="30"/>
        <v>175403819.1694915</v>
      </c>
      <c r="P114" s="403">
        <f>IF(G114=0,"",IF(F114=0,"",G114-F114))</f>
        <v>52.621146050847528</v>
      </c>
      <c r="Q114" s="405">
        <f t="shared" si="32"/>
        <v>3.0000000000000041E-2</v>
      </c>
      <c r="R114" s="406">
        <f t="shared" si="33"/>
        <v>1806.6593377457627</v>
      </c>
      <c r="S114" s="404">
        <f t="shared" si="34"/>
        <v>180665933.77457625</v>
      </c>
      <c r="T114" s="403">
        <f>IF(H114=0,"",IF(G114=0,"",H114-G114))</f>
        <v>54.199780432373018</v>
      </c>
      <c r="U114" s="405">
        <f>IF(T114="","",T114/G114)</f>
        <v>3.0000000000000075E-2</v>
      </c>
      <c r="V114" s="406">
        <f t="shared" si="37"/>
        <v>1860.8591181781358</v>
      </c>
      <c r="W114" s="404">
        <f t="shared" si="38"/>
        <v>186085911.81781358</v>
      </c>
      <c r="X114" s="403">
        <f>IF(I114=0,"",IF(H114=0,"",I114-H114))</f>
        <v>55.825773845344202</v>
      </c>
      <c r="Y114" s="405">
        <f>IF(X114="","",X114/H114)</f>
        <v>3.0000000000000068E-2</v>
      </c>
      <c r="Z114" s="406">
        <f t="shared" si="41"/>
        <v>1916.68489202348</v>
      </c>
      <c r="AA114" s="404">
        <f t="shared" si="42"/>
        <v>191668489.20234799</v>
      </c>
      <c r="AB114" s="403">
        <f>IF(J114=0,"",IF(I114=0,"",J114-I114))</f>
        <v>57.500547060704548</v>
      </c>
      <c r="AC114" s="405">
        <f>IF(AB114="","",AB114/I114)</f>
        <v>3.0000000000000079E-2</v>
      </c>
      <c r="AD114" s="406">
        <f t="shared" si="45"/>
        <v>1974.1854390841845</v>
      </c>
      <c r="AE114" s="404">
        <f t="shared" si="46"/>
        <v>197418543.90841845</v>
      </c>
      <c r="AF114" s="403">
        <f>IF(K114=0,"",IF(J114=0,"",K114-J114))</f>
        <v>59.225563472525664</v>
      </c>
      <c r="AG114" s="405">
        <f>IF(AF114="","",AF114/J114)</f>
        <v>3.0000000000000065E-2</v>
      </c>
      <c r="AH114" s="406">
        <f t="shared" si="49"/>
        <v>2033.4110025567102</v>
      </c>
      <c r="AI114" s="404">
        <f t="shared" si="50"/>
        <v>203341100.25567099</v>
      </c>
      <c r="AJ114" s="403">
        <f>IF(L114=0,"",IF(K114=0,"",L114-K114))</f>
        <v>61.002330376701366</v>
      </c>
      <c r="AK114" s="407">
        <f>IF(AJ114="","",AJ114/K114)</f>
        <v>3.000000000000003E-2</v>
      </c>
      <c r="AL114" s="408">
        <f t="shared" si="53"/>
        <v>2094.4133329334118</v>
      </c>
      <c r="AM114" s="404">
        <f t="shared" si="54"/>
        <v>209441333.29334116</v>
      </c>
      <c r="AN114" s="38"/>
    </row>
    <row r="115" spans="1:40" ht="12.75" x14ac:dyDescent="0.2">
      <c r="A115" s="26"/>
      <c r="B115" s="38"/>
      <c r="C115" s="296" t="s">
        <v>637</v>
      </c>
      <c r="D115" s="296" t="str">
        <f>IF('WK2 - Notional General Income'!C104="","",'WK2 - Notional General Income'!C104)</f>
        <v>Jerberra Road - E2 Infrastructure</v>
      </c>
      <c r="E115" s="406">
        <f>IF('WK2 - Notional General Income'!L104="","",'WK2 - Notional General Income'!L104/'WK2 - Notional General Income'!D104)</f>
        <v>1.0000000000000001E-5</v>
      </c>
      <c r="F115" s="406">
        <f>IF('WK3 - Notional GI 15-16 YIELD'!L102="","",'WK3 - Notional GI 15-16 YIELD'!L102/'WK3 - Notional GI 15-16 YIELD'!D102)</f>
        <v>1283.1337333333333</v>
      </c>
      <c r="G115" s="577">
        <f>+F115*1.03</f>
        <v>1321.6277453333335</v>
      </c>
      <c r="H115" s="577">
        <f>+G115*1.03</f>
        <v>1361.2765776933336</v>
      </c>
      <c r="I115" s="577">
        <f>+H115*1.03</f>
        <v>1402.1148750241337</v>
      </c>
      <c r="J115" s="577">
        <f>+I115*1.03</f>
        <v>1444.1783212748578</v>
      </c>
      <c r="K115" s="577">
        <f>+J115*1.03</f>
        <v>1487.5036709131036</v>
      </c>
      <c r="L115" s="577">
        <f>+K115*1.03</f>
        <v>1532.1287810404967</v>
      </c>
      <c r="M115" s="38"/>
      <c r="N115" s="403">
        <f t="shared" si="29"/>
        <v>1283.1337233333334</v>
      </c>
      <c r="O115" s="404">
        <f t="shared" si="30"/>
        <v>128313372.33333333</v>
      </c>
      <c r="P115" s="403">
        <f>IF(G115=0,"",IF(F115=0,"",G115-F115))</f>
        <v>38.494012000000112</v>
      </c>
      <c r="Q115" s="405">
        <f t="shared" si="32"/>
        <v>3.0000000000000086E-2</v>
      </c>
      <c r="R115" s="406">
        <f t="shared" si="33"/>
        <v>1321.6277353333335</v>
      </c>
      <c r="S115" s="404">
        <f t="shared" si="34"/>
        <v>132162773.53333333</v>
      </c>
      <c r="T115" s="403">
        <f>IF(H115=0,"",IF(G115=0,"",H115-G115))</f>
        <v>39.648832360000142</v>
      </c>
      <c r="U115" s="405">
        <f>IF(T115="","",T115/G115)</f>
        <v>3.0000000000000106E-2</v>
      </c>
      <c r="V115" s="406">
        <f t="shared" si="37"/>
        <v>1361.2765676933336</v>
      </c>
      <c r="W115" s="404">
        <f t="shared" si="38"/>
        <v>136127656.76933336</v>
      </c>
      <c r="X115" s="403">
        <f>IF(I115=0,"",IF(H115=0,"",I115-H115))</f>
        <v>40.83829733080006</v>
      </c>
      <c r="Y115" s="405">
        <f>IF(X115="","",X115/H115)</f>
        <v>3.0000000000000037E-2</v>
      </c>
      <c r="Z115" s="406">
        <f t="shared" si="41"/>
        <v>1402.1148650241337</v>
      </c>
      <c r="AA115" s="404">
        <f t="shared" si="42"/>
        <v>140211486.50241336</v>
      </c>
      <c r="AB115" s="403">
        <f>IF(J115=0,"",IF(I115=0,"",J115-I115))</f>
        <v>42.063446250724155</v>
      </c>
      <c r="AC115" s="405">
        <f>IF(AB115="","",AB115/I115)</f>
        <v>3.0000000000000103E-2</v>
      </c>
      <c r="AD115" s="406">
        <f t="shared" si="45"/>
        <v>1444.1783112748578</v>
      </c>
      <c r="AE115" s="404">
        <f t="shared" si="46"/>
        <v>144417831.12748578</v>
      </c>
      <c r="AF115" s="403">
        <f>IF(K115=0,"",IF(J115=0,"",K115-J115))</f>
        <v>43.325349638245825</v>
      </c>
      <c r="AG115" s="405">
        <f>IF(AF115="","",AF115/J115)</f>
        <v>3.0000000000000061E-2</v>
      </c>
      <c r="AH115" s="406">
        <f t="shared" si="49"/>
        <v>1487.5036609131037</v>
      </c>
      <c r="AI115" s="404">
        <f t="shared" si="50"/>
        <v>148750366.09131035</v>
      </c>
      <c r="AJ115" s="403">
        <f>IF(L115=0,"",IF(K115=0,"",L115-K115))</f>
        <v>44.6251101273931</v>
      </c>
      <c r="AK115" s="407">
        <f>IF(AJ115="","",AJ115/K115)</f>
        <v>2.9999999999999995E-2</v>
      </c>
      <c r="AL115" s="408">
        <f t="shared" si="53"/>
        <v>1532.1287710404968</v>
      </c>
      <c r="AM115" s="404">
        <f t="shared" si="54"/>
        <v>153212877.10404965</v>
      </c>
      <c r="AN115" s="38"/>
    </row>
    <row r="116" spans="1:40" ht="12.75" x14ac:dyDescent="0.2">
      <c r="A116" s="26"/>
      <c r="B116" s="38"/>
      <c r="C116" s="296" t="s">
        <v>637</v>
      </c>
      <c r="D116" s="296" t="str">
        <f>IF('WK2 - Notional General Income'!C105="","",'WK2 - Notional General Income'!C105)</f>
        <v/>
      </c>
      <c r="E116" s="406" t="str">
        <f>IF('WK2 - Notional General Income'!L105="","",'WK2 - Notional General Income'!L105/'WK2 - Notional General Income'!D105)</f>
        <v/>
      </c>
      <c r="F116" s="406" t="str">
        <f>IF('WK3 - Notional GI 15-16 YIELD'!L103="","",'WK3 - Notional GI 15-16 YIELD'!L103/'WK3 - Notional GI 15-16 YIELD'!D103)</f>
        <v/>
      </c>
      <c r="G116" s="577"/>
      <c r="H116" s="577"/>
      <c r="I116" s="577"/>
      <c r="J116" s="577"/>
      <c r="K116" s="577"/>
      <c r="L116" s="577"/>
      <c r="M116" s="38"/>
      <c r="N116" s="403" t="str">
        <f t="shared" si="29"/>
        <v/>
      </c>
      <c r="O116" s="404" t="str">
        <f t="shared" si="30"/>
        <v/>
      </c>
      <c r="P116" s="403" t="str">
        <f t="shared" si="31"/>
        <v/>
      </c>
      <c r="Q116" s="405" t="str">
        <f t="shared" si="32"/>
        <v/>
      </c>
      <c r="R116" s="406" t="str">
        <f t="shared" si="33"/>
        <v/>
      </c>
      <c r="S116" s="404" t="str">
        <f t="shared" si="34"/>
        <v/>
      </c>
      <c r="T116" s="403" t="str">
        <f t="shared" si="35"/>
        <v/>
      </c>
      <c r="U116" s="405" t="str">
        <f t="shared" si="36"/>
        <v/>
      </c>
      <c r="V116" s="406" t="str">
        <f t="shared" si="37"/>
        <v/>
      </c>
      <c r="W116" s="404" t="str">
        <f t="shared" si="38"/>
        <v/>
      </c>
      <c r="X116" s="403" t="str">
        <f t="shared" si="39"/>
        <v/>
      </c>
      <c r="Y116" s="405" t="str">
        <f t="shared" si="40"/>
        <v/>
      </c>
      <c r="Z116" s="406" t="str">
        <f t="shared" si="41"/>
        <v/>
      </c>
      <c r="AA116" s="404" t="str">
        <f t="shared" si="42"/>
        <v/>
      </c>
      <c r="AB116" s="403" t="str">
        <f t="shared" si="43"/>
        <v/>
      </c>
      <c r="AC116" s="405" t="str">
        <f t="shared" si="44"/>
        <v/>
      </c>
      <c r="AD116" s="406" t="str">
        <f t="shared" si="45"/>
        <v/>
      </c>
      <c r="AE116" s="404" t="str">
        <f t="shared" si="46"/>
        <v/>
      </c>
      <c r="AF116" s="403" t="str">
        <f t="shared" si="47"/>
        <v/>
      </c>
      <c r="AG116" s="405" t="str">
        <f t="shared" si="48"/>
        <v/>
      </c>
      <c r="AH116" s="406" t="str">
        <f t="shared" si="49"/>
        <v/>
      </c>
      <c r="AI116" s="404" t="str">
        <f t="shared" si="50"/>
        <v/>
      </c>
      <c r="AJ116" s="403" t="str">
        <f t="shared" si="51"/>
        <v/>
      </c>
      <c r="AK116" s="407" t="str">
        <f t="shared" si="52"/>
        <v/>
      </c>
      <c r="AL116" s="408" t="str">
        <f t="shared" si="53"/>
        <v/>
      </c>
      <c r="AM116" s="404" t="str">
        <f t="shared" si="54"/>
        <v/>
      </c>
      <c r="AN116" s="38"/>
    </row>
    <row r="117" spans="1:40" ht="12.75" x14ac:dyDescent="0.2">
      <c r="A117" s="26"/>
      <c r="B117" s="38"/>
      <c r="C117" s="296" t="s">
        <v>637</v>
      </c>
      <c r="D117" s="296" t="str">
        <f>IF('WK2 - Notional General Income'!C106="","",'WK2 - Notional General Income'!C106)</f>
        <v/>
      </c>
      <c r="E117" s="406" t="str">
        <f>IF('WK2 - Notional General Income'!L106="","",'WK2 - Notional General Income'!L106/'WK2 - Notional General Income'!D106)</f>
        <v/>
      </c>
      <c r="F117" s="406" t="str">
        <f>IF('WK3 - Notional GI 15-16 YIELD'!L104="","",'WK3 - Notional GI 15-16 YIELD'!L104/'WK3 - Notional GI 15-16 YIELD'!D104)</f>
        <v/>
      </c>
      <c r="G117" s="577"/>
      <c r="H117" s="577"/>
      <c r="I117" s="577"/>
      <c r="J117" s="577"/>
      <c r="K117" s="577"/>
      <c r="L117" s="577"/>
      <c r="M117" s="38"/>
      <c r="N117" s="403" t="str">
        <f t="shared" si="29"/>
        <v/>
      </c>
      <c r="O117" s="404" t="str">
        <f t="shared" si="30"/>
        <v/>
      </c>
      <c r="P117" s="403" t="str">
        <f t="shared" si="31"/>
        <v/>
      </c>
      <c r="Q117" s="405" t="str">
        <f t="shared" si="32"/>
        <v/>
      </c>
      <c r="R117" s="406" t="str">
        <f t="shared" si="33"/>
        <v/>
      </c>
      <c r="S117" s="404" t="str">
        <f t="shared" si="34"/>
        <v/>
      </c>
      <c r="T117" s="403" t="str">
        <f t="shared" si="35"/>
        <v/>
      </c>
      <c r="U117" s="405" t="str">
        <f t="shared" si="36"/>
        <v/>
      </c>
      <c r="V117" s="406" t="str">
        <f t="shared" si="37"/>
        <v/>
      </c>
      <c r="W117" s="404" t="str">
        <f t="shared" si="38"/>
        <v/>
      </c>
      <c r="X117" s="403" t="str">
        <f t="shared" si="39"/>
        <v/>
      </c>
      <c r="Y117" s="405" t="str">
        <f t="shared" si="40"/>
        <v/>
      </c>
      <c r="Z117" s="406" t="str">
        <f t="shared" si="41"/>
        <v/>
      </c>
      <c r="AA117" s="404" t="str">
        <f t="shared" si="42"/>
        <v/>
      </c>
      <c r="AB117" s="403" t="str">
        <f t="shared" si="43"/>
        <v/>
      </c>
      <c r="AC117" s="405" t="str">
        <f t="shared" si="44"/>
        <v/>
      </c>
      <c r="AD117" s="406" t="str">
        <f t="shared" si="45"/>
        <v/>
      </c>
      <c r="AE117" s="404" t="str">
        <f t="shared" si="46"/>
        <v/>
      </c>
      <c r="AF117" s="403" t="str">
        <f t="shared" si="47"/>
        <v/>
      </c>
      <c r="AG117" s="405" t="str">
        <f t="shared" si="48"/>
        <v/>
      </c>
      <c r="AH117" s="406" t="str">
        <f t="shared" si="49"/>
        <v/>
      </c>
      <c r="AI117" s="404" t="str">
        <f t="shared" si="50"/>
        <v/>
      </c>
      <c r="AJ117" s="403" t="str">
        <f t="shared" si="51"/>
        <v/>
      </c>
      <c r="AK117" s="407" t="str">
        <f t="shared" si="52"/>
        <v/>
      </c>
      <c r="AL117" s="408" t="str">
        <f t="shared" si="53"/>
        <v/>
      </c>
      <c r="AM117" s="404" t="str">
        <f t="shared" si="54"/>
        <v/>
      </c>
      <c r="AN117" s="38"/>
    </row>
    <row r="118" spans="1:40" ht="12.75" x14ac:dyDescent="0.2">
      <c r="A118" s="26"/>
      <c r="B118" s="38"/>
      <c r="C118" s="296" t="s">
        <v>637</v>
      </c>
      <c r="D118" s="296" t="str">
        <f>IF('WK2 - Notional General Income'!C107="","",'WK2 - Notional General Income'!C107)</f>
        <v/>
      </c>
      <c r="E118" s="406" t="str">
        <f>IF('WK2 - Notional General Income'!L107="","",'WK2 - Notional General Income'!L107/'WK2 - Notional General Income'!D107)</f>
        <v/>
      </c>
      <c r="F118" s="406" t="str">
        <f>IF('WK3 - Notional GI 15-16 YIELD'!L105="","",'WK3 - Notional GI 15-16 YIELD'!L105/'WK3 - Notional GI 15-16 YIELD'!D105)</f>
        <v/>
      </c>
      <c r="G118" s="577"/>
      <c r="H118" s="577"/>
      <c r="I118" s="577"/>
      <c r="J118" s="577"/>
      <c r="K118" s="577"/>
      <c r="L118" s="577"/>
      <c r="M118" s="38"/>
      <c r="N118" s="403" t="str">
        <f t="shared" si="29"/>
        <v/>
      </c>
      <c r="O118" s="404" t="str">
        <f t="shared" si="30"/>
        <v/>
      </c>
      <c r="P118" s="403" t="str">
        <f t="shared" si="31"/>
        <v/>
      </c>
      <c r="Q118" s="405" t="str">
        <f t="shared" si="32"/>
        <v/>
      </c>
      <c r="R118" s="406" t="str">
        <f t="shared" si="33"/>
        <v/>
      </c>
      <c r="S118" s="404" t="str">
        <f t="shared" si="34"/>
        <v/>
      </c>
      <c r="T118" s="403" t="str">
        <f t="shared" si="35"/>
        <v/>
      </c>
      <c r="U118" s="405" t="str">
        <f t="shared" si="36"/>
        <v/>
      </c>
      <c r="V118" s="406" t="str">
        <f t="shared" si="37"/>
        <v/>
      </c>
      <c r="W118" s="404" t="str">
        <f t="shared" si="38"/>
        <v/>
      </c>
      <c r="X118" s="403" t="str">
        <f t="shared" si="39"/>
        <v/>
      </c>
      <c r="Y118" s="405" t="str">
        <f t="shared" si="40"/>
        <v/>
      </c>
      <c r="Z118" s="406" t="str">
        <f t="shared" si="41"/>
        <v/>
      </c>
      <c r="AA118" s="404" t="str">
        <f t="shared" si="42"/>
        <v/>
      </c>
      <c r="AB118" s="403" t="str">
        <f t="shared" si="43"/>
        <v/>
      </c>
      <c r="AC118" s="405" t="str">
        <f t="shared" si="44"/>
        <v/>
      </c>
      <c r="AD118" s="406" t="str">
        <f t="shared" si="45"/>
        <v/>
      </c>
      <c r="AE118" s="404" t="str">
        <f t="shared" si="46"/>
        <v/>
      </c>
      <c r="AF118" s="403" t="str">
        <f t="shared" si="47"/>
        <v/>
      </c>
      <c r="AG118" s="405" t="str">
        <f t="shared" si="48"/>
        <v/>
      </c>
      <c r="AH118" s="406" t="str">
        <f t="shared" si="49"/>
        <v/>
      </c>
      <c r="AI118" s="404" t="str">
        <f t="shared" si="50"/>
        <v/>
      </c>
      <c r="AJ118" s="403" t="str">
        <f t="shared" si="51"/>
        <v/>
      </c>
      <c r="AK118" s="407" t="str">
        <f t="shared" si="52"/>
        <v/>
      </c>
      <c r="AL118" s="408" t="str">
        <f t="shared" si="53"/>
        <v/>
      </c>
      <c r="AM118" s="404" t="str">
        <f t="shared" si="54"/>
        <v/>
      </c>
      <c r="AN118" s="38"/>
    </row>
    <row r="119" spans="1:40" ht="12.75" x14ac:dyDescent="0.2">
      <c r="A119" s="26"/>
      <c r="B119" s="38"/>
      <c r="C119" s="296" t="s">
        <v>637</v>
      </c>
      <c r="D119" s="296" t="str">
        <f>IF('WK2 - Notional General Income'!C108="","",'WK2 - Notional General Income'!C108)</f>
        <v/>
      </c>
      <c r="E119" s="406" t="str">
        <f>IF('WK2 - Notional General Income'!L108="","",'WK2 - Notional General Income'!L108/'WK2 - Notional General Income'!D108)</f>
        <v/>
      </c>
      <c r="F119" s="406" t="str">
        <f>IF('WK3 - Notional GI 15-16 YIELD'!L106="","",'WK3 - Notional GI 15-16 YIELD'!L106/'WK3 - Notional GI 15-16 YIELD'!D106)</f>
        <v/>
      </c>
      <c r="G119" s="577"/>
      <c r="H119" s="577"/>
      <c r="I119" s="577"/>
      <c r="J119" s="577"/>
      <c r="K119" s="577"/>
      <c r="L119" s="577"/>
      <c r="M119" s="38"/>
      <c r="N119" s="403" t="str">
        <f t="shared" si="29"/>
        <v/>
      </c>
      <c r="O119" s="404" t="str">
        <f t="shared" si="30"/>
        <v/>
      </c>
      <c r="P119" s="403" t="str">
        <f t="shared" si="31"/>
        <v/>
      </c>
      <c r="Q119" s="405" t="str">
        <f t="shared" si="32"/>
        <v/>
      </c>
      <c r="R119" s="406" t="str">
        <f t="shared" si="33"/>
        <v/>
      </c>
      <c r="S119" s="404" t="str">
        <f t="shared" si="34"/>
        <v/>
      </c>
      <c r="T119" s="403" t="str">
        <f t="shared" si="35"/>
        <v/>
      </c>
      <c r="U119" s="405" t="str">
        <f t="shared" si="36"/>
        <v/>
      </c>
      <c r="V119" s="406" t="str">
        <f t="shared" si="37"/>
        <v/>
      </c>
      <c r="W119" s="404" t="str">
        <f t="shared" si="38"/>
        <v/>
      </c>
      <c r="X119" s="403" t="str">
        <f t="shared" si="39"/>
        <v/>
      </c>
      <c r="Y119" s="405" t="str">
        <f t="shared" si="40"/>
        <v/>
      </c>
      <c r="Z119" s="406" t="str">
        <f t="shared" si="41"/>
        <v/>
      </c>
      <c r="AA119" s="404" t="str">
        <f t="shared" si="42"/>
        <v/>
      </c>
      <c r="AB119" s="403" t="str">
        <f t="shared" si="43"/>
        <v/>
      </c>
      <c r="AC119" s="405" t="str">
        <f t="shared" si="44"/>
        <v/>
      </c>
      <c r="AD119" s="406" t="str">
        <f t="shared" si="45"/>
        <v/>
      </c>
      <c r="AE119" s="404" t="str">
        <f t="shared" si="46"/>
        <v/>
      </c>
      <c r="AF119" s="403" t="str">
        <f t="shared" si="47"/>
        <v/>
      </c>
      <c r="AG119" s="405" t="str">
        <f t="shared" si="48"/>
        <v/>
      </c>
      <c r="AH119" s="406" t="str">
        <f t="shared" si="49"/>
        <v/>
      </c>
      <c r="AI119" s="404" t="str">
        <f t="shared" si="50"/>
        <v/>
      </c>
      <c r="AJ119" s="403" t="str">
        <f t="shared" si="51"/>
        <v/>
      </c>
      <c r="AK119" s="407" t="str">
        <f t="shared" si="52"/>
        <v/>
      </c>
      <c r="AL119" s="408" t="str">
        <f t="shared" si="53"/>
        <v/>
      </c>
      <c r="AM119" s="404" t="str">
        <f t="shared" si="54"/>
        <v/>
      </c>
      <c r="AN119" s="38"/>
    </row>
    <row r="120" spans="1:40" ht="12.75" x14ac:dyDescent="0.2">
      <c r="A120" s="26"/>
      <c r="B120" s="38"/>
      <c r="C120" s="296" t="s">
        <v>637</v>
      </c>
      <c r="D120" s="296" t="str">
        <f>IF('WK2 - Notional General Income'!C109="","",'WK2 - Notional General Income'!C109)</f>
        <v/>
      </c>
      <c r="E120" s="406" t="str">
        <f>IF('WK2 - Notional General Income'!L109="","",'WK2 - Notional General Income'!L109/'WK2 - Notional General Income'!D109)</f>
        <v/>
      </c>
      <c r="F120" s="406" t="str">
        <f>IF('WK3 - Notional GI 15-16 YIELD'!L107="","",'WK3 - Notional GI 15-16 YIELD'!L107/'WK3 - Notional GI 15-16 YIELD'!D107)</f>
        <v/>
      </c>
      <c r="G120" s="577"/>
      <c r="H120" s="577"/>
      <c r="I120" s="577"/>
      <c r="J120" s="577"/>
      <c r="K120" s="577"/>
      <c r="L120" s="577"/>
      <c r="M120" s="38"/>
      <c r="N120" s="403" t="str">
        <f t="shared" si="29"/>
        <v/>
      </c>
      <c r="O120" s="404" t="str">
        <f t="shared" si="30"/>
        <v/>
      </c>
      <c r="P120" s="403" t="str">
        <f t="shared" si="31"/>
        <v/>
      </c>
      <c r="Q120" s="405" t="str">
        <f t="shared" si="32"/>
        <v/>
      </c>
      <c r="R120" s="406" t="str">
        <f t="shared" si="33"/>
        <v/>
      </c>
      <c r="S120" s="404" t="str">
        <f t="shared" si="34"/>
        <v/>
      </c>
      <c r="T120" s="403" t="str">
        <f t="shared" si="35"/>
        <v/>
      </c>
      <c r="U120" s="405" t="str">
        <f t="shared" si="36"/>
        <v/>
      </c>
      <c r="V120" s="406" t="str">
        <f t="shared" si="37"/>
        <v/>
      </c>
      <c r="W120" s="404" t="str">
        <f t="shared" si="38"/>
        <v/>
      </c>
      <c r="X120" s="403" t="str">
        <f t="shared" si="39"/>
        <v/>
      </c>
      <c r="Y120" s="405" t="str">
        <f t="shared" si="40"/>
        <v/>
      </c>
      <c r="Z120" s="406" t="str">
        <f t="shared" si="41"/>
        <v/>
      </c>
      <c r="AA120" s="404" t="str">
        <f t="shared" si="42"/>
        <v/>
      </c>
      <c r="AB120" s="403" t="str">
        <f t="shared" si="43"/>
        <v/>
      </c>
      <c r="AC120" s="405" t="str">
        <f t="shared" si="44"/>
        <v/>
      </c>
      <c r="AD120" s="406" t="str">
        <f t="shared" si="45"/>
        <v/>
      </c>
      <c r="AE120" s="404" t="str">
        <f t="shared" si="46"/>
        <v/>
      </c>
      <c r="AF120" s="403" t="str">
        <f t="shared" si="47"/>
        <v/>
      </c>
      <c r="AG120" s="405" t="str">
        <f t="shared" si="48"/>
        <v/>
      </c>
      <c r="AH120" s="406" t="str">
        <f t="shared" si="49"/>
        <v/>
      </c>
      <c r="AI120" s="404" t="str">
        <f t="shared" si="50"/>
        <v/>
      </c>
      <c r="AJ120" s="403" t="str">
        <f t="shared" si="51"/>
        <v/>
      </c>
      <c r="AK120" s="407" t="str">
        <f t="shared" si="52"/>
        <v/>
      </c>
      <c r="AL120" s="408" t="str">
        <f t="shared" si="53"/>
        <v/>
      </c>
      <c r="AM120" s="404" t="str">
        <f t="shared" si="54"/>
        <v/>
      </c>
      <c r="AN120" s="38"/>
    </row>
    <row r="121" spans="1:40" ht="12.75" x14ac:dyDescent="0.2">
      <c r="A121" s="26"/>
      <c r="B121" s="38"/>
      <c r="C121" s="296" t="s">
        <v>637</v>
      </c>
      <c r="D121" s="296" t="str">
        <f>IF('WK2 - Notional General Income'!C110="","",'WK2 - Notional General Income'!C110)</f>
        <v/>
      </c>
      <c r="E121" s="406" t="str">
        <f>IF('WK2 - Notional General Income'!L110="","",'WK2 - Notional General Income'!L110/'WK2 - Notional General Income'!D110)</f>
        <v/>
      </c>
      <c r="F121" s="406" t="str">
        <f>IF('WK3 - Notional GI 15-16 YIELD'!L108="","",'WK3 - Notional GI 15-16 YIELD'!L108/'WK3 - Notional GI 15-16 YIELD'!D108)</f>
        <v/>
      </c>
      <c r="G121" s="577"/>
      <c r="H121" s="577"/>
      <c r="I121" s="577"/>
      <c r="J121" s="577"/>
      <c r="K121" s="577"/>
      <c r="L121" s="577"/>
      <c r="M121" s="38"/>
      <c r="N121" s="403" t="str">
        <f t="shared" si="29"/>
        <v/>
      </c>
      <c r="O121" s="404" t="str">
        <f t="shared" si="30"/>
        <v/>
      </c>
      <c r="P121" s="403" t="str">
        <f t="shared" si="31"/>
        <v/>
      </c>
      <c r="Q121" s="405" t="str">
        <f t="shared" si="32"/>
        <v/>
      </c>
      <c r="R121" s="406" t="str">
        <f t="shared" si="33"/>
        <v/>
      </c>
      <c r="S121" s="404" t="str">
        <f t="shared" si="34"/>
        <v/>
      </c>
      <c r="T121" s="403" t="str">
        <f t="shared" si="35"/>
        <v/>
      </c>
      <c r="U121" s="405" t="str">
        <f t="shared" si="36"/>
        <v/>
      </c>
      <c r="V121" s="406" t="str">
        <f t="shared" si="37"/>
        <v/>
      </c>
      <c r="W121" s="404" t="str">
        <f t="shared" si="38"/>
        <v/>
      </c>
      <c r="X121" s="403" t="str">
        <f t="shared" si="39"/>
        <v/>
      </c>
      <c r="Y121" s="405" t="str">
        <f t="shared" si="40"/>
        <v/>
      </c>
      <c r="Z121" s="406" t="str">
        <f t="shared" si="41"/>
        <v/>
      </c>
      <c r="AA121" s="404" t="str">
        <f t="shared" si="42"/>
        <v/>
      </c>
      <c r="AB121" s="403" t="str">
        <f t="shared" si="43"/>
        <v/>
      </c>
      <c r="AC121" s="405" t="str">
        <f t="shared" si="44"/>
        <v/>
      </c>
      <c r="AD121" s="406" t="str">
        <f t="shared" si="45"/>
        <v/>
      </c>
      <c r="AE121" s="404" t="str">
        <f t="shared" si="46"/>
        <v/>
      </c>
      <c r="AF121" s="403" t="str">
        <f t="shared" si="47"/>
        <v/>
      </c>
      <c r="AG121" s="405" t="str">
        <f t="shared" si="48"/>
        <v/>
      </c>
      <c r="AH121" s="406" t="str">
        <f t="shared" si="49"/>
        <v/>
      </c>
      <c r="AI121" s="404" t="str">
        <f t="shared" si="50"/>
        <v/>
      </c>
      <c r="AJ121" s="403" t="str">
        <f t="shared" si="51"/>
        <v/>
      </c>
      <c r="AK121" s="407" t="str">
        <f t="shared" si="52"/>
        <v/>
      </c>
      <c r="AL121" s="408" t="str">
        <f t="shared" si="53"/>
        <v/>
      </c>
      <c r="AM121" s="404" t="str">
        <f t="shared" si="54"/>
        <v/>
      </c>
      <c r="AN121" s="38"/>
    </row>
    <row r="122" spans="1:40" ht="12.75" x14ac:dyDescent="0.2">
      <c r="A122" s="26"/>
      <c r="B122" s="38"/>
      <c r="C122" s="296" t="s">
        <v>637</v>
      </c>
      <c r="D122" s="296" t="str">
        <f>IF('WK2 - Notional General Income'!C111="","",'WK2 - Notional General Income'!C111)</f>
        <v/>
      </c>
      <c r="E122" s="406" t="str">
        <f>IF('WK2 - Notional General Income'!L111="","",'WK2 - Notional General Income'!L111/'WK2 - Notional General Income'!D111)</f>
        <v/>
      </c>
      <c r="F122" s="406" t="str">
        <f>IF('WK3 - Notional GI 15-16 YIELD'!L109="","",'WK3 - Notional GI 15-16 YIELD'!L109/'WK3 - Notional GI 15-16 YIELD'!D109)</f>
        <v/>
      </c>
      <c r="G122" s="577"/>
      <c r="H122" s="577"/>
      <c r="I122" s="577"/>
      <c r="J122" s="577"/>
      <c r="K122" s="577"/>
      <c r="L122" s="577"/>
      <c r="M122" s="38"/>
      <c r="N122" s="403" t="str">
        <f t="shared" si="29"/>
        <v/>
      </c>
      <c r="O122" s="404" t="str">
        <f t="shared" si="30"/>
        <v/>
      </c>
      <c r="P122" s="403" t="str">
        <f t="shared" si="31"/>
        <v/>
      </c>
      <c r="Q122" s="405" t="str">
        <f t="shared" si="32"/>
        <v/>
      </c>
      <c r="R122" s="406" t="str">
        <f t="shared" si="33"/>
        <v/>
      </c>
      <c r="S122" s="404" t="str">
        <f t="shared" si="34"/>
        <v/>
      </c>
      <c r="T122" s="403" t="str">
        <f t="shared" si="35"/>
        <v/>
      </c>
      <c r="U122" s="405" t="str">
        <f t="shared" si="36"/>
        <v/>
      </c>
      <c r="V122" s="406" t="str">
        <f t="shared" si="37"/>
        <v/>
      </c>
      <c r="W122" s="404" t="str">
        <f t="shared" si="38"/>
        <v/>
      </c>
      <c r="X122" s="403" t="str">
        <f t="shared" si="39"/>
        <v/>
      </c>
      <c r="Y122" s="405" t="str">
        <f t="shared" si="40"/>
        <v/>
      </c>
      <c r="Z122" s="406" t="str">
        <f t="shared" si="41"/>
        <v/>
      </c>
      <c r="AA122" s="404" t="str">
        <f t="shared" si="42"/>
        <v/>
      </c>
      <c r="AB122" s="403" t="str">
        <f t="shared" si="43"/>
        <v/>
      </c>
      <c r="AC122" s="405" t="str">
        <f t="shared" si="44"/>
        <v/>
      </c>
      <c r="AD122" s="406" t="str">
        <f t="shared" si="45"/>
        <v/>
      </c>
      <c r="AE122" s="404" t="str">
        <f t="shared" si="46"/>
        <v/>
      </c>
      <c r="AF122" s="403" t="str">
        <f t="shared" si="47"/>
        <v/>
      </c>
      <c r="AG122" s="405" t="str">
        <f t="shared" si="48"/>
        <v/>
      </c>
      <c r="AH122" s="406" t="str">
        <f t="shared" si="49"/>
        <v/>
      </c>
      <c r="AI122" s="404" t="str">
        <f t="shared" si="50"/>
        <v/>
      </c>
      <c r="AJ122" s="403" t="str">
        <f t="shared" si="51"/>
        <v/>
      </c>
      <c r="AK122" s="407" t="str">
        <f t="shared" si="52"/>
        <v/>
      </c>
      <c r="AL122" s="408" t="str">
        <f t="shared" si="53"/>
        <v/>
      </c>
      <c r="AM122" s="404" t="str">
        <f t="shared" si="54"/>
        <v/>
      </c>
      <c r="AN122" s="38"/>
    </row>
    <row r="123" spans="1:40" ht="12.75" x14ac:dyDescent="0.2">
      <c r="A123" s="26"/>
      <c r="B123" s="38"/>
      <c r="C123" s="296" t="s">
        <v>637</v>
      </c>
      <c r="D123" s="296" t="str">
        <f>IF('WK2 - Notional General Income'!C112="","",'WK2 - Notional General Income'!C112)</f>
        <v/>
      </c>
      <c r="E123" s="406" t="str">
        <f>IF('WK2 - Notional General Income'!L112="","",'WK2 - Notional General Income'!L112/'WK2 - Notional General Income'!D112)</f>
        <v/>
      </c>
      <c r="F123" s="406" t="str">
        <f>IF('WK3 - Notional GI 15-16 YIELD'!L110="","",'WK3 - Notional GI 15-16 YIELD'!L110/'WK3 - Notional GI 15-16 YIELD'!D110)</f>
        <v/>
      </c>
      <c r="G123" s="577"/>
      <c r="H123" s="577"/>
      <c r="I123" s="577"/>
      <c r="J123" s="577"/>
      <c r="K123" s="577"/>
      <c r="L123" s="577"/>
      <c r="M123" s="38"/>
      <c r="N123" s="403" t="str">
        <f t="shared" ref="N123:N177" si="70">IF(F123="","",IF(E123=0,"",F123-E123))</f>
        <v/>
      </c>
      <c r="O123" s="404" t="str">
        <f t="shared" ref="O123:O177" si="71">IF(N123="","",N123/E123)</f>
        <v/>
      </c>
      <c r="P123" s="403" t="str">
        <f t="shared" ref="P123:P177" si="72">IF(G123=0,"",IF(F123=0,"",G123-F123))</f>
        <v/>
      </c>
      <c r="Q123" s="405" t="str">
        <f t="shared" ref="Q123:Q176" si="73">IF(P123="","",P123/F123)</f>
        <v/>
      </c>
      <c r="R123" s="406" t="str">
        <f t="shared" ref="R123:R176" si="74">IF(P123="","",P123+N123)</f>
        <v/>
      </c>
      <c r="S123" s="404" t="str">
        <f t="shared" ref="S123:S176" si="75">IF(R123="","",R123/E123)</f>
        <v/>
      </c>
      <c r="T123" s="403" t="str">
        <f t="shared" ref="T123:T176" si="76">IF(H123=0,"",IF(G123=0,"",H123-G123))</f>
        <v/>
      </c>
      <c r="U123" s="405" t="str">
        <f t="shared" ref="U123:U176" si="77">IF(T123="","",T123/G123)</f>
        <v/>
      </c>
      <c r="V123" s="406" t="str">
        <f t="shared" ref="V123:V176" si="78">IF(T123="","",T123+R123)</f>
        <v/>
      </c>
      <c r="W123" s="404" t="str">
        <f t="shared" ref="W123:W176" si="79">IF(V123="","",V123/E123)</f>
        <v/>
      </c>
      <c r="X123" s="403" t="str">
        <f t="shared" ref="X123:X176" si="80">IF(I123=0,"",IF(H123=0,"",I123-H123))</f>
        <v/>
      </c>
      <c r="Y123" s="405" t="str">
        <f t="shared" ref="Y123:Y176" si="81">IF(X123="","",X123/H123)</f>
        <v/>
      </c>
      <c r="Z123" s="406" t="str">
        <f t="shared" ref="Z123:Z176" si="82">IF(X123="","",X123+V123)</f>
        <v/>
      </c>
      <c r="AA123" s="404" t="str">
        <f t="shared" ref="AA123:AA176" si="83">IF(Z123="","",Z123/E123)</f>
        <v/>
      </c>
      <c r="AB123" s="403" t="str">
        <f t="shared" ref="AB123:AB176" si="84">IF(J123=0,"",IF(I123=0,"",J123-I123))</f>
        <v/>
      </c>
      <c r="AC123" s="405" t="str">
        <f t="shared" ref="AC123:AC176" si="85">IF(AB123="","",AB123/I123)</f>
        <v/>
      </c>
      <c r="AD123" s="406" t="str">
        <f t="shared" ref="AD123:AD176" si="86">IF(AB123="","",AB123+Z123)</f>
        <v/>
      </c>
      <c r="AE123" s="404" t="str">
        <f t="shared" ref="AE123:AE176" si="87">IF(AD123="","",AD123/E123)</f>
        <v/>
      </c>
      <c r="AF123" s="403" t="str">
        <f t="shared" ref="AF123:AF176" si="88">IF(K123=0,"",IF(J123=0,"",K123-J123))</f>
        <v/>
      </c>
      <c r="AG123" s="405" t="str">
        <f t="shared" ref="AG123:AG176" si="89">IF(AF123="","",AF123/J123)</f>
        <v/>
      </c>
      <c r="AH123" s="406" t="str">
        <f t="shared" ref="AH123:AH176" si="90">IF(AF123="","",AF123+AD123)</f>
        <v/>
      </c>
      <c r="AI123" s="404" t="str">
        <f t="shared" ref="AI123:AI176" si="91">IF(AH123="","",AH123/E123)</f>
        <v/>
      </c>
      <c r="AJ123" s="403" t="str">
        <f t="shared" ref="AJ123:AJ176" si="92">IF(L123=0,"",IF(K123=0,"",L123-K123))</f>
        <v/>
      </c>
      <c r="AK123" s="407" t="str">
        <f t="shared" ref="AK123:AK176" si="93">IF(AJ123="","",AJ123/K123)</f>
        <v/>
      </c>
      <c r="AL123" s="408" t="str">
        <f t="shared" ref="AL123:AL176" si="94">IF(AJ123="","",AJ123+AH123)</f>
        <v/>
      </c>
      <c r="AM123" s="404" t="str">
        <f t="shared" ref="AM123:AM176" si="95">IF(AL123="","",AL123/E123)</f>
        <v/>
      </c>
      <c r="AN123" s="38"/>
    </row>
    <row r="124" spans="1:40" ht="12.75" x14ac:dyDescent="0.2">
      <c r="A124" s="26"/>
      <c r="B124" s="38"/>
      <c r="C124" s="296" t="s">
        <v>637</v>
      </c>
      <c r="D124" s="296" t="str">
        <f>IF('WK2 - Notional General Income'!C113="","",'WK2 - Notional General Income'!C113)</f>
        <v/>
      </c>
      <c r="E124" s="406" t="str">
        <f>IF('WK2 - Notional General Income'!L113="","",'WK2 - Notional General Income'!L113/'WK2 - Notional General Income'!D113)</f>
        <v/>
      </c>
      <c r="F124" s="406" t="str">
        <f>IF('WK3 - Notional GI 15-16 YIELD'!L111="","",'WK3 - Notional GI 15-16 YIELD'!L111/'WK3 - Notional GI 15-16 YIELD'!D111)</f>
        <v/>
      </c>
      <c r="G124" s="577"/>
      <c r="H124" s="577"/>
      <c r="I124" s="577"/>
      <c r="J124" s="577"/>
      <c r="K124" s="577"/>
      <c r="L124" s="577"/>
      <c r="M124" s="38"/>
      <c r="N124" s="403" t="str">
        <f t="shared" si="70"/>
        <v/>
      </c>
      <c r="O124" s="404" t="str">
        <f t="shared" si="71"/>
        <v/>
      </c>
      <c r="P124" s="403" t="str">
        <f t="shared" si="72"/>
        <v/>
      </c>
      <c r="Q124" s="405" t="str">
        <f t="shared" si="73"/>
        <v/>
      </c>
      <c r="R124" s="406" t="str">
        <f t="shared" si="74"/>
        <v/>
      </c>
      <c r="S124" s="404" t="str">
        <f t="shared" si="75"/>
        <v/>
      </c>
      <c r="T124" s="403" t="str">
        <f t="shared" si="76"/>
        <v/>
      </c>
      <c r="U124" s="405" t="str">
        <f t="shared" si="77"/>
        <v/>
      </c>
      <c r="V124" s="406" t="str">
        <f t="shared" si="78"/>
        <v/>
      </c>
      <c r="W124" s="404" t="str">
        <f t="shared" si="79"/>
        <v/>
      </c>
      <c r="X124" s="403" t="str">
        <f t="shared" si="80"/>
        <v/>
      </c>
      <c r="Y124" s="405" t="str">
        <f t="shared" si="81"/>
        <v/>
      </c>
      <c r="Z124" s="406" t="str">
        <f t="shared" si="82"/>
        <v/>
      </c>
      <c r="AA124" s="404" t="str">
        <f t="shared" si="83"/>
        <v/>
      </c>
      <c r="AB124" s="403" t="str">
        <f t="shared" si="84"/>
        <v/>
      </c>
      <c r="AC124" s="405" t="str">
        <f t="shared" si="85"/>
        <v/>
      </c>
      <c r="AD124" s="406" t="str">
        <f t="shared" si="86"/>
        <v/>
      </c>
      <c r="AE124" s="404" t="str">
        <f t="shared" si="87"/>
        <v/>
      </c>
      <c r="AF124" s="403" t="str">
        <f t="shared" si="88"/>
        <v/>
      </c>
      <c r="AG124" s="405" t="str">
        <f t="shared" si="89"/>
        <v/>
      </c>
      <c r="AH124" s="406" t="str">
        <f t="shared" si="90"/>
        <v/>
      </c>
      <c r="AI124" s="404" t="str">
        <f t="shared" si="91"/>
        <v/>
      </c>
      <c r="AJ124" s="403" t="str">
        <f t="shared" si="92"/>
        <v/>
      </c>
      <c r="AK124" s="407" t="str">
        <f t="shared" si="93"/>
        <v/>
      </c>
      <c r="AL124" s="408" t="str">
        <f t="shared" si="94"/>
        <v/>
      </c>
      <c r="AM124" s="404" t="str">
        <f t="shared" si="95"/>
        <v/>
      </c>
      <c r="AN124" s="38"/>
    </row>
    <row r="125" spans="1:40" ht="12.75" x14ac:dyDescent="0.2">
      <c r="A125" s="26"/>
      <c r="B125" s="38"/>
      <c r="C125" s="296" t="s">
        <v>637</v>
      </c>
      <c r="D125" s="296" t="str">
        <f>IF('WK2 - Notional General Income'!C114="","",'WK2 - Notional General Income'!C114)</f>
        <v/>
      </c>
      <c r="E125" s="406" t="str">
        <f>IF('WK2 - Notional General Income'!L114="","",'WK2 - Notional General Income'!L114/'WK2 - Notional General Income'!D114)</f>
        <v/>
      </c>
      <c r="F125" s="406" t="str">
        <f>IF('WK3 - Notional GI 15-16 YIELD'!L112="","",'WK3 - Notional GI 15-16 YIELD'!L112/'WK3 - Notional GI 15-16 YIELD'!D112)</f>
        <v/>
      </c>
      <c r="G125" s="577"/>
      <c r="H125" s="577"/>
      <c r="I125" s="577"/>
      <c r="J125" s="577"/>
      <c r="K125" s="577"/>
      <c r="L125" s="577"/>
      <c r="M125" s="38"/>
      <c r="N125" s="403" t="str">
        <f t="shared" si="70"/>
        <v/>
      </c>
      <c r="O125" s="404" t="str">
        <f t="shared" si="71"/>
        <v/>
      </c>
      <c r="P125" s="403" t="str">
        <f t="shared" si="72"/>
        <v/>
      </c>
      <c r="Q125" s="405" t="str">
        <f t="shared" si="73"/>
        <v/>
      </c>
      <c r="R125" s="406" t="str">
        <f t="shared" si="74"/>
        <v/>
      </c>
      <c r="S125" s="404" t="str">
        <f t="shared" si="75"/>
        <v/>
      </c>
      <c r="T125" s="403" t="str">
        <f t="shared" si="76"/>
        <v/>
      </c>
      <c r="U125" s="405" t="str">
        <f t="shared" si="77"/>
        <v/>
      </c>
      <c r="V125" s="406" t="str">
        <f t="shared" si="78"/>
        <v/>
      </c>
      <c r="W125" s="404" t="str">
        <f t="shared" si="79"/>
        <v/>
      </c>
      <c r="X125" s="403" t="str">
        <f t="shared" si="80"/>
        <v/>
      </c>
      <c r="Y125" s="405" t="str">
        <f t="shared" si="81"/>
        <v/>
      </c>
      <c r="Z125" s="406" t="str">
        <f t="shared" si="82"/>
        <v/>
      </c>
      <c r="AA125" s="404" t="str">
        <f t="shared" si="83"/>
        <v/>
      </c>
      <c r="AB125" s="403" t="str">
        <f t="shared" si="84"/>
        <v/>
      </c>
      <c r="AC125" s="405" t="str">
        <f t="shared" si="85"/>
        <v/>
      </c>
      <c r="AD125" s="406" t="str">
        <f t="shared" si="86"/>
        <v/>
      </c>
      <c r="AE125" s="404" t="str">
        <f t="shared" si="87"/>
        <v/>
      </c>
      <c r="AF125" s="403" t="str">
        <f t="shared" si="88"/>
        <v/>
      </c>
      <c r="AG125" s="405" t="str">
        <f t="shared" si="89"/>
        <v/>
      </c>
      <c r="AH125" s="406" t="str">
        <f t="shared" si="90"/>
        <v/>
      </c>
      <c r="AI125" s="404" t="str">
        <f t="shared" si="91"/>
        <v/>
      </c>
      <c r="AJ125" s="403" t="str">
        <f t="shared" si="92"/>
        <v/>
      </c>
      <c r="AK125" s="407" t="str">
        <f t="shared" si="93"/>
        <v/>
      </c>
      <c r="AL125" s="408" t="str">
        <f t="shared" si="94"/>
        <v/>
      </c>
      <c r="AM125" s="404" t="str">
        <f t="shared" si="95"/>
        <v/>
      </c>
      <c r="AN125" s="38"/>
    </row>
    <row r="126" spans="1:40" ht="12.75" x14ac:dyDescent="0.2">
      <c r="A126" s="26"/>
      <c r="B126" s="38"/>
      <c r="C126" s="296" t="s">
        <v>637</v>
      </c>
      <c r="D126" s="296" t="str">
        <f>IF('WK2 - Notional General Income'!C115="","",'WK2 - Notional General Income'!C115)</f>
        <v/>
      </c>
      <c r="E126" s="406" t="str">
        <f>IF('WK2 - Notional General Income'!L115="","",'WK2 - Notional General Income'!L115/'WK2 - Notional General Income'!D115)</f>
        <v/>
      </c>
      <c r="F126" s="406" t="str">
        <f>IF('WK3 - Notional GI 15-16 YIELD'!L113="","",'WK3 - Notional GI 15-16 YIELD'!L113/'WK3 - Notional GI 15-16 YIELD'!D113)</f>
        <v/>
      </c>
      <c r="G126" s="577"/>
      <c r="H126" s="577"/>
      <c r="I126" s="577"/>
      <c r="J126" s="577"/>
      <c r="K126" s="577"/>
      <c r="L126" s="577"/>
      <c r="M126" s="38"/>
      <c r="N126" s="403" t="str">
        <f t="shared" si="70"/>
        <v/>
      </c>
      <c r="O126" s="404" t="str">
        <f t="shared" si="71"/>
        <v/>
      </c>
      <c r="P126" s="403" t="str">
        <f t="shared" si="72"/>
        <v/>
      </c>
      <c r="Q126" s="405" t="str">
        <f t="shared" si="73"/>
        <v/>
      </c>
      <c r="R126" s="406" t="str">
        <f t="shared" si="74"/>
        <v/>
      </c>
      <c r="S126" s="404" t="str">
        <f t="shared" si="75"/>
        <v/>
      </c>
      <c r="T126" s="403" t="str">
        <f t="shared" si="76"/>
        <v/>
      </c>
      <c r="U126" s="405" t="str">
        <f t="shared" si="77"/>
        <v/>
      </c>
      <c r="V126" s="406" t="str">
        <f t="shared" si="78"/>
        <v/>
      </c>
      <c r="W126" s="404" t="str">
        <f t="shared" si="79"/>
        <v/>
      </c>
      <c r="X126" s="403" t="str">
        <f t="shared" si="80"/>
        <v/>
      </c>
      <c r="Y126" s="405" t="str">
        <f t="shared" si="81"/>
        <v/>
      </c>
      <c r="Z126" s="406" t="str">
        <f t="shared" si="82"/>
        <v/>
      </c>
      <c r="AA126" s="404" t="str">
        <f t="shared" si="83"/>
        <v/>
      </c>
      <c r="AB126" s="403" t="str">
        <f t="shared" si="84"/>
        <v/>
      </c>
      <c r="AC126" s="405" t="str">
        <f t="shared" si="85"/>
        <v/>
      </c>
      <c r="AD126" s="406" t="str">
        <f t="shared" si="86"/>
        <v/>
      </c>
      <c r="AE126" s="404" t="str">
        <f t="shared" si="87"/>
        <v/>
      </c>
      <c r="AF126" s="403" t="str">
        <f t="shared" si="88"/>
        <v/>
      </c>
      <c r="AG126" s="405" t="str">
        <f t="shared" si="89"/>
        <v/>
      </c>
      <c r="AH126" s="406" t="str">
        <f t="shared" si="90"/>
        <v/>
      </c>
      <c r="AI126" s="404" t="str">
        <f t="shared" si="91"/>
        <v/>
      </c>
      <c r="AJ126" s="403" t="str">
        <f t="shared" si="92"/>
        <v/>
      </c>
      <c r="AK126" s="407" t="str">
        <f t="shared" si="93"/>
        <v/>
      </c>
      <c r="AL126" s="408" t="str">
        <f t="shared" si="94"/>
        <v/>
      </c>
      <c r="AM126" s="404" t="str">
        <f t="shared" si="95"/>
        <v/>
      </c>
      <c r="AN126" s="38"/>
    </row>
    <row r="127" spans="1:40" ht="12.75" x14ac:dyDescent="0.2">
      <c r="A127" s="26"/>
      <c r="B127" s="38"/>
      <c r="C127" s="296" t="s">
        <v>637</v>
      </c>
      <c r="D127" s="296" t="str">
        <f>IF('WK2 - Notional General Income'!C116="","",'WK2 - Notional General Income'!C116)</f>
        <v/>
      </c>
      <c r="E127" s="406" t="str">
        <f>IF('WK2 - Notional General Income'!L116="","",'WK2 - Notional General Income'!L116/'WK2 - Notional General Income'!D116)</f>
        <v/>
      </c>
      <c r="F127" s="406" t="str">
        <f>IF('WK3 - Notional GI 15-16 YIELD'!L114="","",'WK3 - Notional GI 15-16 YIELD'!L114/'WK3 - Notional GI 15-16 YIELD'!D114)</f>
        <v/>
      </c>
      <c r="G127" s="577"/>
      <c r="H127" s="577"/>
      <c r="I127" s="577"/>
      <c r="J127" s="577"/>
      <c r="K127" s="577"/>
      <c r="L127" s="577"/>
      <c r="M127" s="38"/>
      <c r="N127" s="403" t="str">
        <f t="shared" si="70"/>
        <v/>
      </c>
      <c r="O127" s="404" t="str">
        <f t="shared" si="71"/>
        <v/>
      </c>
      <c r="P127" s="403" t="str">
        <f t="shared" si="72"/>
        <v/>
      </c>
      <c r="Q127" s="405" t="str">
        <f t="shared" si="73"/>
        <v/>
      </c>
      <c r="R127" s="406" t="str">
        <f t="shared" si="74"/>
        <v/>
      </c>
      <c r="S127" s="404" t="str">
        <f t="shared" si="75"/>
        <v/>
      </c>
      <c r="T127" s="403" t="str">
        <f t="shared" si="76"/>
        <v/>
      </c>
      <c r="U127" s="405" t="str">
        <f t="shared" si="77"/>
        <v/>
      </c>
      <c r="V127" s="406" t="str">
        <f t="shared" si="78"/>
        <v/>
      </c>
      <c r="W127" s="404" t="str">
        <f t="shared" si="79"/>
        <v/>
      </c>
      <c r="X127" s="403" t="str">
        <f t="shared" si="80"/>
        <v/>
      </c>
      <c r="Y127" s="405" t="str">
        <f t="shared" si="81"/>
        <v/>
      </c>
      <c r="Z127" s="406" t="str">
        <f t="shared" si="82"/>
        <v/>
      </c>
      <c r="AA127" s="404" t="str">
        <f t="shared" si="83"/>
        <v/>
      </c>
      <c r="AB127" s="403" t="str">
        <f t="shared" si="84"/>
        <v/>
      </c>
      <c r="AC127" s="405" t="str">
        <f t="shared" si="85"/>
        <v/>
      </c>
      <c r="AD127" s="406" t="str">
        <f t="shared" si="86"/>
        <v/>
      </c>
      <c r="AE127" s="404" t="str">
        <f t="shared" si="87"/>
        <v/>
      </c>
      <c r="AF127" s="403" t="str">
        <f t="shared" si="88"/>
        <v/>
      </c>
      <c r="AG127" s="405" t="str">
        <f t="shared" si="89"/>
        <v/>
      </c>
      <c r="AH127" s="406" t="str">
        <f t="shared" si="90"/>
        <v/>
      </c>
      <c r="AI127" s="404" t="str">
        <f t="shared" si="91"/>
        <v/>
      </c>
      <c r="AJ127" s="403" t="str">
        <f t="shared" si="92"/>
        <v/>
      </c>
      <c r="AK127" s="407" t="str">
        <f t="shared" si="93"/>
        <v/>
      </c>
      <c r="AL127" s="408" t="str">
        <f t="shared" si="94"/>
        <v/>
      </c>
      <c r="AM127" s="404" t="str">
        <f t="shared" si="95"/>
        <v/>
      </c>
      <c r="AN127" s="38"/>
    </row>
    <row r="128" spans="1:40" ht="12.75" x14ac:dyDescent="0.2">
      <c r="A128" s="26"/>
      <c r="B128" s="38"/>
      <c r="C128" s="296" t="s">
        <v>637</v>
      </c>
      <c r="D128" s="296" t="str">
        <f>IF('WK2 - Notional General Income'!C117="","",'WK2 - Notional General Income'!C117)</f>
        <v/>
      </c>
      <c r="E128" s="406" t="str">
        <f>IF('WK2 - Notional General Income'!L117="","",'WK2 - Notional General Income'!L117/'WK2 - Notional General Income'!D117)</f>
        <v/>
      </c>
      <c r="F128" s="406" t="str">
        <f>IF('WK3 - Notional GI 15-16 YIELD'!L115="","",'WK3 - Notional GI 15-16 YIELD'!L115/'WK3 - Notional GI 15-16 YIELD'!D115)</f>
        <v/>
      </c>
      <c r="G128" s="577"/>
      <c r="H128" s="577"/>
      <c r="I128" s="577"/>
      <c r="J128" s="577"/>
      <c r="K128" s="577"/>
      <c r="L128" s="577"/>
      <c r="M128" s="38"/>
      <c r="N128" s="403" t="str">
        <f t="shared" si="70"/>
        <v/>
      </c>
      <c r="O128" s="404" t="str">
        <f t="shared" si="71"/>
        <v/>
      </c>
      <c r="P128" s="403" t="str">
        <f t="shared" si="72"/>
        <v/>
      </c>
      <c r="Q128" s="405" t="str">
        <f t="shared" si="73"/>
        <v/>
      </c>
      <c r="R128" s="406" t="str">
        <f t="shared" si="74"/>
        <v/>
      </c>
      <c r="S128" s="404" t="str">
        <f t="shared" si="75"/>
        <v/>
      </c>
      <c r="T128" s="403" t="str">
        <f t="shared" si="76"/>
        <v/>
      </c>
      <c r="U128" s="405" t="str">
        <f t="shared" si="77"/>
        <v/>
      </c>
      <c r="V128" s="406" t="str">
        <f t="shared" si="78"/>
        <v/>
      </c>
      <c r="W128" s="404" t="str">
        <f t="shared" si="79"/>
        <v/>
      </c>
      <c r="X128" s="403" t="str">
        <f t="shared" si="80"/>
        <v/>
      </c>
      <c r="Y128" s="405" t="str">
        <f t="shared" si="81"/>
        <v/>
      </c>
      <c r="Z128" s="406" t="str">
        <f t="shared" si="82"/>
        <v/>
      </c>
      <c r="AA128" s="404" t="str">
        <f t="shared" si="83"/>
        <v/>
      </c>
      <c r="AB128" s="403" t="str">
        <f t="shared" si="84"/>
        <v/>
      </c>
      <c r="AC128" s="405" t="str">
        <f t="shared" si="85"/>
        <v/>
      </c>
      <c r="AD128" s="406" t="str">
        <f t="shared" si="86"/>
        <v/>
      </c>
      <c r="AE128" s="404" t="str">
        <f t="shared" si="87"/>
        <v/>
      </c>
      <c r="AF128" s="403" t="str">
        <f t="shared" si="88"/>
        <v/>
      </c>
      <c r="AG128" s="405" t="str">
        <f t="shared" si="89"/>
        <v/>
      </c>
      <c r="AH128" s="406" t="str">
        <f t="shared" si="90"/>
        <v/>
      </c>
      <c r="AI128" s="404" t="str">
        <f t="shared" si="91"/>
        <v/>
      </c>
      <c r="AJ128" s="403" t="str">
        <f t="shared" si="92"/>
        <v/>
      </c>
      <c r="AK128" s="407" t="str">
        <f t="shared" si="93"/>
        <v/>
      </c>
      <c r="AL128" s="408" t="str">
        <f t="shared" si="94"/>
        <v/>
      </c>
      <c r="AM128" s="404" t="str">
        <f t="shared" si="95"/>
        <v/>
      </c>
      <c r="AN128" s="38"/>
    </row>
    <row r="129" spans="1:40" ht="12.75" x14ac:dyDescent="0.2">
      <c r="A129" s="26"/>
      <c r="B129" s="38"/>
      <c r="C129" s="296" t="s">
        <v>637</v>
      </c>
      <c r="D129" s="296" t="str">
        <f>IF('WK2 - Notional General Income'!C118="","",'WK2 - Notional General Income'!C118)</f>
        <v/>
      </c>
      <c r="E129" s="406" t="str">
        <f>IF('WK2 - Notional General Income'!L118="","",'WK2 - Notional General Income'!L118/'WK2 - Notional General Income'!D118)</f>
        <v/>
      </c>
      <c r="F129" s="406" t="str">
        <f>IF('WK3 - Notional GI 15-16 YIELD'!L116="","",'WK3 - Notional GI 15-16 YIELD'!L116/'WK3 - Notional GI 15-16 YIELD'!D116)</f>
        <v/>
      </c>
      <c r="G129" s="577"/>
      <c r="H129" s="577"/>
      <c r="I129" s="577"/>
      <c r="J129" s="577"/>
      <c r="K129" s="577"/>
      <c r="L129" s="577"/>
      <c r="M129" s="38"/>
      <c r="N129" s="403" t="str">
        <f t="shared" si="70"/>
        <v/>
      </c>
      <c r="O129" s="404" t="str">
        <f t="shared" si="71"/>
        <v/>
      </c>
      <c r="P129" s="403" t="str">
        <f t="shared" si="72"/>
        <v/>
      </c>
      <c r="Q129" s="405" t="str">
        <f t="shared" si="73"/>
        <v/>
      </c>
      <c r="R129" s="406" t="str">
        <f t="shared" si="74"/>
        <v/>
      </c>
      <c r="S129" s="404" t="str">
        <f t="shared" si="75"/>
        <v/>
      </c>
      <c r="T129" s="403" t="str">
        <f t="shared" si="76"/>
        <v/>
      </c>
      <c r="U129" s="405" t="str">
        <f t="shared" si="77"/>
        <v/>
      </c>
      <c r="V129" s="406" t="str">
        <f t="shared" si="78"/>
        <v/>
      </c>
      <c r="W129" s="404" t="str">
        <f t="shared" si="79"/>
        <v/>
      </c>
      <c r="X129" s="403" t="str">
        <f t="shared" si="80"/>
        <v/>
      </c>
      <c r="Y129" s="405" t="str">
        <f t="shared" si="81"/>
        <v/>
      </c>
      <c r="Z129" s="406" t="str">
        <f t="shared" si="82"/>
        <v/>
      </c>
      <c r="AA129" s="404" t="str">
        <f t="shared" si="83"/>
        <v/>
      </c>
      <c r="AB129" s="403" t="str">
        <f t="shared" si="84"/>
        <v/>
      </c>
      <c r="AC129" s="405" t="str">
        <f t="shared" si="85"/>
        <v/>
      </c>
      <c r="AD129" s="406" t="str">
        <f t="shared" si="86"/>
        <v/>
      </c>
      <c r="AE129" s="404" t="str">
        <f t="shared" si="87"/>
        <v/>
      </c>
      <c r="AF129" s="403" t="str">
        <f t="shared" si="88"/>
        <v/>
      </c>
      <c r="AG129" s="405" t="str">
        <f t="shared" si="89"/>
        <v/>
      </c>
      <c r="AH129" s="406" t="str">
        <f t="shared" si="90"/>
        <v/>
      </c>
      <c r="AI129" s="404" t="str">
        <f t="shared" si="91"/>
        <v/>
      </c>
      <c r="AJ129" s="403" t="str">
        <f t="shared" si="92"/>
        <v/>
      </c>
      <c r="AK129" s="407" t="str">
        <f t="shared" si="93"/>
        <v/>
      </c>
      <c r="AL129" s="408" t="str">
        <f t="shared" si="94"/>
        <v/>
      </c>
      <c r="AM129" s="404" t="str">
        <f t="shared" si="95"/>
        <v/>
      </c>
      <c r="AN129" s="38"/>
    </row>
    <row r="130" spans="1:40" ht="12.75" x14ac:dyDescent="0.2">
      <c r="A130" s="26"/>
      <c r="B130" s="38"/>
      <c r="C130" s="296" t="s">
        <v>637</v>
      </c>
      <c r="D130" s="296" t="str">
        <f>IF('WK2 - Notional General Income'!C119="","",'WK2 - Notional General Income'!C119)</f>
        <v/>
      </c>
      <c r="E130" s="406" t="str">
        <f>IF('WK2 - Notional General Income'!L119="","",'WK2 - Notional General Income'!L119/'WK2 - Notional General Income'!D119)</f>
        <v/>
      </c>
      <c r="F130" s="406" t="str">
        <f>IF('WK3 - Notional GI 15-16 YIELD'!L117="","",'WK3 - Notional GI 15-16 YIELD'!L117/'WK3 - Notional GI 15-16 YIELD'!D117)</f>
        <v/>
      </c>
      <c r="G130" s="577"/>
      <c r="H130" s="577"/>
      <c r="I130" s="577"/>
      <c r="J130" s="577"/>
      <c r="K130" s="577"/>
      <c r="L130" s="577"/>
      <c r="M130" s="38"/>
      <c r="N130" s="403" t="str">
        <f t="shared" si="70"/>
        <v/>
      </c>
      <c r="O130" s="404" t="str">
        <f t="shared" si="71"/>
        <v/>
      </c>
      <c r="P130" s="403" t="str">
        <f t="shared" si="72"/>
        <v/>
      </c>
      <c r="Q130" s="405" t="str">
        <f t="shared" si="73"/>
        <v/>
      </c>
      <c r="R130" s="406" t="str">
        <f t="shared" si="74"/>
        <v/>
      </c>
      <c r="S130" s="404" t="str">
        <f t="shared" si="75"/>
        <v/>
      </c>
      <c r="T130" s="403" t="str">
        <f t="shared" si="76"/>
        <v/>
      </c>
      <c r="U130" s="405" t="str">
        <f t="shared" si="77"/>
        <v/>
      </c>
      <c r="V130" s="406" t="str">
        <f t="shared" si="78"/>
        <v/>
      </c>
      <c r="W130" s="404" t="str">
        <f t="shared" si="79"/>
        <v/>
      </c>
      <c r="X130" s="403" t="str">
        <f t="shared" si="80"/>
        <v/>
      </c>
      <c r="Y130" s="405" t="str">
        <f t="shared" si="81"/>
        <v/>
      </c>
      <c r="Z130" s="406" t="str">
        <f t="shared" si="82"/>
        <v/>
      </c>
      <c r="AA130" s="404" t="str">
        <f t="shared" si="83"/>
        <v/>
      </c>
      <c r="AB130" s="403" t="str">
        <f t="shared" si="84"/>
        <v/>
      </c>
      <c r="AC130" s="405" t="str">
        <f t="shared" si="85"/>
        <v/>
      </c>
      <c r="AD130" s="406" t="str">
        <f t="shared" si="86"/>
        <v/>
      </c>
      <c r="AE130" s="404" t="str">
        <f t="shared" si="87"/>
        <v/>
      </c>
      <c r="AF130" s="403" t="str">
        <f t="shared" si="88"/>
        <v/>
      </c>
      <c r="AG130" s="405" t="str">
        <f t="shared" si="89"/>
        <v/>
      </c>
      <c r="AH130" s="406" t="str">
        <f t="shared" si="90"/>
        <v/>
      </c>
      <c r="AI130" s="404" t="str">
        <f t="shared" si="91"/>
        <v/>
      </c>
      <c r="AJ130" s="403" t="str">
        <f t="shared" si="92"/>
        <v/>
      </c>
      <c r="AK130" s="407" t="str">
        <f t="shared" si="93"/>
        <v/>
      </c>
      <c r="AL130" s="408" t="str">
        <f t="shared" si="94"/>
        <v/>
      </c>
      <c r="AM130" s="404" t="str">
        <f t="shared" si="95"/>
        <v/>
      </c>
      <c r="AN130" s="38"/>
    </row>
    <row r="131" spans="1:40" ht="12.75" x14ac:dyDescent="0.2">
      <c r="A131" s="26"/>
      <c r="B131" s="38"/>
      <c r="C131" s="296" t="s">
        <v>637</v>
      </c>
      <c r="D131" s="296" t="str">
        <f>IF('WK2 - Notional General Income'!C120="","",'WK2 - Notional General Income'!C120)</f>
        <v/>
      </c>
      <c r="E131" s="406" t="str">
        <f>IF('WK2 - Notional General Income'!L120="","",'WK2 - Notional General Income'!L120/'WK2 - Notional General Income'!D120)</f>
        <v/>
      </c>
      <c r="F131" s="406" t="str">
        <f>IF('WK3 - Notional GI 15-16 YIELD'!L118="","",'WK3 - Notional GI 15-16 YIELD'!L118/'WK3 - Notional GI 15-16 YIELD'!D118)</f>
        <v/>
      </c>
      <c r="G131" s="577"/>
      <c r="H131" s="577"/>
      <c r="I131" s="577"/>
      <c r="J131" s="577"/>
      <c r="K131" s="577"/>
      <c r="L131" s="577"/>
      <c r="M131" s="38"/>
      <c r="N131" s="403" t="str">
        <f t="shared" si="70"/>
        <v/>
      </c>
      <c r="O131" s="404" t="str">
        <f t="shared" si="71"/>
        <v/>
      </c>
      <c r="P131" s="403" t="str">
        <f t="shared" si="72"/>
        <v/>
      </c>
      <c r="Q131" s="405" t="str">
        <f t="shared" si="73"/>
        <v/>
      </c>
      <c r="R131" s="406" t="str">
        <f t="shared" si="74"/>
        <v/>
      </c>
      <c r="S131" s="404" t="str">
        <f t="shared" si="75"/>
        <v/>
      </c>
      <c r="T131" s="403" t="str">
        <f t="shared" si="76"/>
        <v/>
      </c>
      <c r="U131" s="405" t="str">
        <f t="shared" si="77"/>
        <v/>
      </c>
      <c r="V131" s="406" t="str">
        <f t="shared" si="78"/>
        <v/>
      </c>
      <c r="W131" s="404" t="str">
        <f t="shared" si="79"/>
        <v/>
      </c>
      <c r="X131" s="403" t="str">
        <f t="shared" si="80"/>
        <v/>
      </c>
      <c r="Y131" s="405" t="str">
        <f t="shared" si="81"/>
        <v/>
      </c>
      <c r="Z131" s="406" t="str">
        <f t="shared" si="82"/>
        <v/>
      </c>
      <c r="AA131" s="404" t="str">
        <f t="shared" si="83"/>
        <v/>
      </c>
      <c r="AB131" s="403" t="str">
        <f t="shared" si="84"/>
        <v/>
      </c>
      <c r="AC131" s="405" t="str">
        <f t="shared" si="85"/>
        <v/>
      </c>
      <c r="AD131" s="406" t="str">
        <f t="shared" si="86"/>
        <v/>
      </c>
      <c r="AE131" s="404" t="str">
        <f t="shared" si="87"/>
        <v/>
      </c>
      <c r="AF131" s="403" t="str">
        <f t="shared" si="88"/>
        <v/>
      </c>
      <c r="AG131" s="405" t="str">
        <f t="shared" si="89"/>
        <v/>
      </c>
      <c r="AH131" s="406" t="str">
        <f t="shared" si="90"/>
        <v/>
      </c>
      <c r="AI131" s="404" t="str">
        <f t="shared" si="91"/>
        <v/>
      </c>
      <c r="AJ131" s="403" t="str">
        <f t="shared" si="92"/>
        <v/>
      </c>
      <c r="AK131" s="407" t="str">
        <f t="shared" si="93"/>
        <v/>
      </c>
      <c r="AL131" s="408" t="str">
        <f t="shared" si="94"/>
        <v/>
      </c>
      <c r="AM131" s="404" t="str">
        <f t="shared" si="95"/>
        <v/>
      </c>
      <c r="AN131" s="38"/>
    </row>
    <row r="132" spans="1:40" ht="12.75" x14ac:dyDescent="0.2">
      <c r="A132" s="26"/>
      <c r="B132" s="38"/>
      <c r="C132" s="296" t="s">
        <v>637</v>
      </c>
      <c r="D132" s="296" t="str">
        <f>IF('WK2 - Notional General Income'!C121="","",'WK2 - Notional General Income'!C121)</f>
        <v/>
      </c>
      <c r="E132" s="406" t="str">
        <f>IF('WK2 - Notional General Income'!L121="","",'WK2 - Notional General Income'!L121/'WK2 - Notional General Income'!D121)</f>
        <v/>
      </c>
      <c r="F132" s="406" t="str">
        <f>IF('WK3 - Notional GI 15-16 YIELD'!L119="","",'WK3 - Notional GI 15-16 YIELD'!L119/'WK3 - Notional GI 15-16 YIELD'!D119)</f>
        <v/>
      </c>
      <c r="G132" s="577"/>
      <c r="H132" s="577"/>
      <c r="I132" s="577"/>
      <c r="J132" s="577"/>
      <c r="K132" s="577"/>
      <c r="L132" s="577"/>
      <c r="M132" s="38"/>
      <c r="N132" s="403" t="str">
        <f t="shared" si="70"/>
        <v/>
      </c>
      <c r="O132" s="404" t="str">
        <f t="shared" si="71"/>
        <v/>
      </c>
      <c r="P132" s="403" t="str">
        <f t="shared" si="72"/>
        <v/>
      </c>
      <c r="Q132" s="405" t="str">
        <f t="shared" si="73"/>
        <v/>
      </c>
      <c r="R132" s="406" t="str">
        <f t="shared" si="74"/>
        <v/>
      </c>
      <c r="S132" s="404" t="str">
        <f t="shared" si="75"/>
        <v/>
      </c>
      <c r="T132" s="403" t="str">
        <f t="shared" si="76"/>
        <v/>
      </c>
      <c r="U132" s="405" t="str">
        <f t="shared" si="77"/>
        <v/>
      </c>
      <c r="V132" s="406" t="str">
        <f t="shared" si="78"/>
        <v/>
      </c>
      <c r="W132" s="404" t="str">
        <f t="shared" si="79"/>
        <v/>
      </c>
      <c r="X132" s="403" t="str">
        <f t="shared" si="80"/>
        <v/>
      </c>
      <c r="Y132" s="405" t="str">
        <f t="shared" si="81"/>
        <v/>
      </c>
      <c r="Z132" s="406" t="str">
        <f t="shared" si="82"/>
        <v/>
      </c>
      <c r="AA132" s="404" t="str">
        <f t="shared" si="83"/>
        <v/>
      </c>
      <c r="AB132" s="403" t="str">
        <f t="shared" si="84"/>
        <v/>
      </c>
      <c r="AC132" s="405" t="str">
        <f t="shared" si="85"/>
        <v/>
      </c>
      <c r="AD132" s="406" t="str">
        <f t="shared" si="86"/>
        <v/>
      </c>
      <c r="AE132" s="404" t="str">
        <f t="shared" si="87"/>
        <v/>
      </c>
      <c r="AF132" s="403" t="str">
        <f t="shared" si="88"/>
        <v/>
      </c>
      <c r="AG132" s="405" t="str">
        <f t="shared" si="89"/>
        <v/>
      </c>
      <c r="AH132" s="406" t="str">
        <f t="shared" si="90"/>
        <v/>
      </c>
      <c r="AI132" s="404" t="str">
        <f t="shared" si="91"/>
        <v/>
      </c>
      <c r="AJ132" s="403" t="str">
        <f t="shared" si="92"/>
        <v/>
      </c>
      <c r="AK132" s="407" t="str">
        <f t="shared" si="93"/>
        <v/>
      </c>
      <c r="AL132" s="408" t="str">
        <f t="shared" si="94"/>
        <v/>
      </c>
      <c r="AM132" s="404" t="str">
        <f t="shared" si="95"/>
        <v/>
      </c>
      <c r="AN132" s="38"/>
    </row>
    <row r="133" spans="1:40" ht="12.75" x14ac:dyDescent="0.2">
      <c r="A133" s="26"/>
      <c r="B133" s="38"/>
      <c r="C133" s="296" t="s">
        <v>637</v>
      </c>
      <c r="D133" s="296" t="str">
        <f>IF('WK2 - Notional General Income'!C122="","",'WK2 - Notional General Income'!C122)</f>
        <v/>
      </c>
      <c r="E133" s="406" t="str">
        <f>IF('WK2 - Notional General Income'!L122="","",'WK2 - Notional General Income'!L122/'WK2 - Notional General Income'!D122)</f>
        <v/>
      </c>
      <c r="F133" s="406" t="str">
        <f>IF('WK3 - Notional GI 15-16 YIELD'!L120="","",'WK3 - Notional GI 15-16 YIELD'!L120/'WK3 - Notional GI 15-16 YIELD'!D120)</f>
        <v/>
      </c>
      <c r="G133" s="577"/>
      <c r="H133" s="577"/>
      <c r="I133" s="577"/>
      <c r="J133" s="577"/>
      <c r="K133" s="577"/>
      <c r="L133" s="577"/>
      <c r="M133" s="38"/>
      <c r="N133" s="403" t="str">
        <f t="shared" si="70"/>
        <v/>
      </c>
      <c r="O133" s="404" t="str">
        <f t="shared" si="71"/>
        <v/>
      </c>
      <c r="P133" s="403" t="str">
        <f t="shared" si="72"/>
        <v/>
      </c>
      <c r="Q133" s="405" t="str">
        <f t="shared" si="73"/>
        <v/>
      </c>
      <c r="R133" s="406" t="str">
        <f t="shared" si="74"/>
        <v/>
      </c>
      <c r="S133" s="404" t="str">
        <f t="shared" si="75"/>
        <v/>
      </c>
      <c r="T133" s="403" t="str">
        <f t="shared" si="76"/>
        <v/>
      </c>
      <c r="U133" s="405" t="str">
        <f t="shared" si="77"/>
        <v/>
      </c>
      <c r="V133" s="406" t="str">
        <f t="shared" si="78"/>
        <v/>
      </c>
      <c r="W133" s="404" t="str">
        <f t="shared" si="79"/>
        <v/>
      </c>
      <c r="X133" s="403" t="str">
        <f t="shared" si="80"/>
        <v/>
      </c>
      <c r="Y133" s="405" t="str">
        <f t="shared" si="81"/>
        <v/>
      </c>
      <c r="Z133" s="406" t="str">
        <f t="shared" si="82"/>
        <v/>
      </c>
      <c r="AA133" s="404" t="str">
        <f t="shared" si="83"/>
        <v/>
      </c>
      <c r="AB133" s="403" t="str">
        <f t="shared" si="84"/>
        <v/>
      </c>
      <c r="AC133" s="405" t="str">
        <f t="shared" si="85"/>
        <v/>
      </c>
      <c r="AD133" s="406" t="str">
        <f t="shared" si="86"/>
        <v/>
      </c>
      <c r="AE133" s="404" t="str">
        <f t="shared" si="87"/>
        <v/>
      </c>
      <c r="AF133" s="403" t="str">
        <f t="shared" si="88"/>
        <v/>
      </c>
      <c r="AG133" s="405" t="str">
        <f t="shared" si="89"/>
        <v/>
      </c>
      <c r="AH133" s="406" t="str">
        <f t="shared" si="90"/>
        <v/>
      </c>
      <c r="AI133" s="404" t="str">
        <f t="shared" si="91"/>
        <v/>
      </c>
      <c r="AJ133" s="403" t="str">
        <f t="shared" si="92"/>
        <v/>
      </c>
      <c r="AK133" s="407" t="str">
        <f t="shared" si="93"/>
        <v/>
      </c>
      <c r="AL133" s="408" t="str">
        <f t="shared" si="94"/>
        <v/>
      </c>
      <c r="AM133" s="404" t="str">
        <f t="shared" si="95"/>
        <v/>
      </c>
      <c r="AN133" s="38"/>
    </row>
    <row r="134" spans="1:40" s="165" customFormat="1" ht="12.75" x14ac:dyDescent="0.2">
      <c r="A134" s="539"/>
      <c r="B134" s="540"/>
      <c r="C134" s="579"/>
      <c r="D134" s="579" t="s">
        <v>613</v>
      </c>
      <c r="E134" s="406">
        <f>IF(SUM(E89:E133)=0,"",('WK2 - Notional General Income'!L61+SUM('WK2 - Notional General Income'!L103:L122))/'WK2 - Notional General Income'!D61)</f>
        <v>2062.880478523276</v>
      </c>
      <c r="F134" s="406">
        <f>IF(SUM(F89:F133)=0,"",('WK3 - Notional GI 15-16 YIELD'!L59+SUM('WK3 - Notional GI 15-16 YIELD'!L101:L120))/'WK3 - Notional GI 15-16 YIELD'!D59)</f>
        <v>2204.9224640724105</v>
      </c>
      <c r="G134" s="406">
        <f>G493/'WK3 - Notional GI 15-16 YIELD'!$D$59</f>
        <v>2271.0701379945826</v>
      </c>
      <c r="H134" s="406">
        <f>H493/'WK3 - Notional GI 15-16 YIELD'!$D$59</f>
        <v>2339.2022421344209</v>
      </c>
      <c r="I134" s="406">
        <f>I493/'WK3 - Notional GI 15-16 YIELD'!$D$59</f>
        <v>2409.3783093984525</v>
      </c>
      <c r="J134" s="406">
        <f>J493/'WK3 - Notional GI 15-16 YIELD'!$D$59</f>
        <v>2481.6596586804076</v>
      </c>
      <c r="K134" s="406">
        <f>K493/'WK3 - Notional GI 15-16 YIELD'!$D$59</f>
        <v>2556.1094484408195</v>
      </c>
      <c r="L134" s="406">
        <f>L493/'WK3 - Notional GI 15-16 YIELD'!$D$59</f>
        <v>2632.7927318940438</v>
      </c>
      <c r="M134" s="540"/>
      <c r="N134" s="403">
        <f t="shared" si="70"/>
        <v>142.04198554913455</v>
      </c>
      <c r="O134" s="404">
        <f t="shared" si="71"/>
        <v>6.8856139280941794E-2</v>
      </c>
      <c r="P134" s="403">
        <f t="shared" si="72"/>
        <v>66.147673922172089</v>
      </c>
      <c r="Q134" s="405">
        <f t="shared" si="73"/>
        <v>2.9999999999999898E-2</v>
      </c>
      <c r="R134" s="406">
        <f t="shared" si="74"/>
        <v>208.18965947130664</v>
      </c>
      <c r="S134" s="404">
        <f t="shared" si="75"/>
        <v>0.10092182345936994</v>
      </c>
      <c r="T134" s="403">
        <f t="shared" si="76"/>
        <v>68.132104139838248</v>
      </c>
      <c r="U134" s="405">
        <f t="shared" si="77"/>
        <v>3.0000000000000339E-2</v>
      </c>
      <c r="V134" s="406">
        <f t="shared" si="78"/>
        <v>276.32176361114489</v>
      </c>
      <c r="W134" s="404">
        <f t="shared" si="79"/>
        <v>0.13394947816315142</v>
      </c>
      <c r="X134" s="403">
        <f t="shared" si="80"/>
        <v>70.176067264031644</v>
      </c>
      <c r="Y134" s="405">
        <f t="shared" si="81"/>
        <v>2.9999999999999579E-2</v>
      </c>
      <c r="Z134" s="406">
        <f t="shared" si="82"/>
        <v>346.49783087517653</v>
      </c>
      <c r="AA134" s="404">
        <f t="shared" si="83"/>
        <v>0.16796796250804547</v>
      </c>
      <c r="AB134" s="403">
        <f t="shared" si="84"/>
        <v>72.281349281955045</v>
      </c>
      <c r="AC134" s="405">
        <f t="shared" si="85"/>
        <v>3.000000000000061E-2</v>
      </c>
      <c r="AD134" s="406">
        <f t="shared" si="86"/>
        <v>418.77918015713158</v>
      </c>
      <c r="AE134" s="404">
        <f t="shared" si="87"/>
        <v>0.20300700138328756</v>
      </c>
      <c r="AF134" s="403">
        <f t="shared" si="88"/>
        <v>74.449789760411932</v>
      </c>
      <c r="AG134" s="405">
        <f t="shared" si="89"/>
        <v>2.9999999999999881E-2</v>
      </c>
      <c r="AH134" s="406">
        <f t="shared" si="90"/>
        <v>493.22896991754351</v>
      </c>
      <c r="AI134" s="404">
        <f t="shared" si="91"/>
        <v>0.23909721142478604</v>
      </c>
      <c r="AJ134" s="403">
        <f t="shared" si="92"/>
        <v>76.683283453224249</v>
      </c>
      <c r="AK134" s="407">
        <f t="shared" si="93"/>
        <v>2.9999999999999867E-2</v>
      </c>
      <c r="AL134" s="408">
        <f t="shared" si="94"/>
        <v>569.91225337076776</v>
      </c>
      <c r="AM134" s="404">
        <f t="shared" si="95"/>
        <v>0.27627012776752946</v>
      </c>
      <c r="AN134" s="540"/>
    </row>
    <row r="135" spans="1:40" ht="12.75" x14ac:dyDescent="0.2">
      <c r="A135" s="26"/>
      <c r="B135" s="38"/>
      <c r="C135" s="296" t="s">
        <v>302</v>
      </c>
      <c r="D135" s="296" t="str">
        <f>IF('WK2 - Notional General Income'!C62="","",'WK2 - Notional General Income'!C62)</f>
        <v/>
      </c>
      <c r="E135" s="406">
        <f>IF('WK2 - Notional General Income'!L62="","",'WK2 - Notional General Income'!L62/'WK2 - Notional General Income'!D62)</f>
        <v>1977.1974865289255</v>
      </c>
      <c r="F135" s="406">
        <f>IF('WK3 - Notional GI 15-16 YIELD'!L60="","",'WK3 - Notional GI 15-16 YIELD'!L60/'WK3 - Notional GI 15-16 YIELD'!D60)</f>
        <v>2031.8414579976302</v>
      </c>
      <c r="G135" s="577">
        <f t="shared" ref="G135:L135" si="96">+F135*1.03</f>
        <v>2092.796701737559</v>
      </c>
      <c r="H135" s="577">
        <f t="shared" si="96"/>
        <v>2155.5806027896861</v>
      </c>
      <c r="I135" s="577">
        <f t="shared" si="96"/>
        <v>2220.2480208733768</v>
      </c>
      <c r="J135" s="577">
        <f t="shared" si="96"/>
        <v>2286.8554614995783</v>
      </c>
      <c r="K135" s="577">
        <f t="shared" si="96"/>
        <v>2355.4611253445655</v>
      </c>
      <c r="L135" s="577">
        <f t="shared" si="96"/>
        <v>2426.1249591049027</v>
      </c>
      <c r="M135" s="38"/>
      <c r="N135" s="403">
        <f t="shared" si="70"/>
        <v>54.643971468704649</v>
      </c>
      <c r="O135" s="404">
        <f t="shared" si="71"/>
        <v>2.7637083215513805E-2</v>
      </c>
      <c r="P135" s="403">
        <f t="shared" si="72"/>
        <v>60.955243739928846</v>
      </c>
      <c r="Q135" s="405">
        <f t="shared" si="73"/>
        <v>2.9999999999999971E-2</v>
      </c>
      <c r="R135" s="406">
        <f t="shared" si="74"/>
        <v>115.5992152086335</v>
      </c>
      <c r="S135" s="404">
        <f t="shared" si="75"/>
        <v>5.8466195711979189E-2</v>
      </c>
      <c r="T135" s="403">
        <f t="shared" si="76"/>
        <v>62.783901052127021</v>
      </c>
      <c r="U135" s="405">
        <f t="shared" si="77"/>
        <v>3.000000000000012E-2</v>
      </c>
      <c r="V135" s="406">
        <f t="shared" si="78"/>
        <v>178.38311626076052</v>
      </c>
      <c r="W135" s="404">
        <f t="shared" si="79"/>
        <v>9.0220181583338693E-2</v>
      </c>
      <c r="X135" s="403">
        <f t="shared" si="80"/>
        <v>64.667418083690791</v>
      </c>
      <c r="Y135" s="405">
        <f t="shared" si="81"/>
        <v>3.0000000000000096E-2</v>
      </c>
      <c r="Z135" s="406">
        <f t="shared" si="82"/>
        <v>243.05053434445131</v>
      </c>
      <c r="AA135" s="404">
        <f t="shared" si="83"/>
        <v>0.12292678703083895</v>
      </c>
      <c r="AB135" s="403">
        <f t="shared" si="84"/>
        <v>66.607440626201424</v>
      </c>
      <c r="AC135" s="405">
        <f t="shared" si="85"/>
        <v>3.0000000000000054E-2</v>
      </c>
      <c r="AD135" s="406">
        <f t="shared" si="86"/>
        <v>309.65797497065273</v>
      </c>
      <c r="AE135" s="404">
        <f t="shared" si="87"/>
        <v>0.1566145906417642</v>
      </c>
      <c r="AF135" s="403">
        <f t="shared" si="88"/>
        <v>68.605663844987248</v>
      </c>
      <c r="AG135" s="405">
        <f t="shared" si="89"/>
        <v>2.9999999999999957E-2</v>
      </c>
      <c r="AH135" s="406">
        <f t="shared" si="90"/>
        <v>378.26363881563998</v>
      </c>
      <c r="AI135" s="404">
        <f t="shared" si="91"/>
        <v>0.19131302836101707</v>
      </c>
      <c r="AJ135" s="403">
        <f t="shared" si="92"/>
        <v>70.663833760337184</v>
      </c>
      <c r="AK135" s="407">
        <f t="shared" si="93"/>
        <v>3.0000000000000093E-2</v>
      </c>
      <c r="AL135" s="408">
        <f t="shared" si="94"/>
        <v>448.92747257597716</v>
      </c>
      <c r="AM135" s="404">
        <f t="shared" si="95"/>
        <v>0.22705241921184768</v>
      </c>
      <c r="AN135" s="38"/>
    </row>
    <row r="136" spans="1:40" ht="12.75" x14ac:dyDescent="0.2">
      <c r="A136" s="26"/>
      <c r="B136" s="38"/>
      <c r="C136" s="296" t="s">
        <v>302</v>
      </c>
      <c r="D136" s="296" t="str">
        <f>IF('WK2 - Notional General Income'!C63="","",'WK2 - Notional General Income'!C63)</f>
        <v>Dairy Farmers</v>
      </c>
      <c r="E136" s="406">
        <f>IF('WK2 - Notional General Income'!L63="","",'WK2 - Notional General Income'!L63/'WK2 - Notional General Income'!D63)</f>
        <v>1507.8996642857142</v>
      </c>
      <c r="F136" s="406">
        <f>IF('WK3 - Notional GI 15-16 YIELD'!L61="","",'WK3 - Notional GI 15-16 YIELD'!L61/'WK3 - Notional GI 15-16 YIELD'!D61)</f>
        <v>1556.4342919999999</v>
      </c>
      <c r="G136" s="577">
        <f t="shared" ref="G136:L136" si="97">+F136*1.03</f>
        <v>1603.12732076</v>
      </c>
      <c r="H136" s="577">
        <f t="shared" si="97"/>
        <v>1651.2211403828001</v>
      </c>
      <c r="I136" s="577">
        <f t="shared" si="97"/>
        <v>1700.757774594284</v>
      </c>
      <c r="J136" s="577">
        <f t="shared" si="97"/>
        <v>1751.7805078321126</v>
      </c>
      <c r="K136" s="577">
        <f t="shared" si="97"/>
        <v>1804.3339230670761</v>
      </c>
      <c r="L136" s="577">
        <f t="shared" si="97"/>
        <v>1858.4639407590885</v>
      </c>
      <c r="M136" s="38"/>
      <c r="N136" s="403">
        <f t="shared" si="70"/>
        <v>48.534627714285762</v>
      </c>
      <c r="O136" s="404">
        <f t="shared" si="71"/>
        <v>3.2186907964646586E-2</v>
      </c>
      <c r="P136" s="403">
        <f t="shared" si="72"/>
        <v>46.693028760000061</v>
      </c>
      <c r="Q136" s="405">
        <f t="shared" si="73"/>
        <v>3.0000000000000041E-2</v>
      </c>
      <c r="R136" s="406">
        <f t="shared" si="74"/>
        <v>95.227656474285823</v>
      </c>
      <c r="S136" s="404">
        <f t="shared" si="75"/>
        <v>6.3152515203586029E-2</v>
      </c>
      <c r="T136" s="403">
        <f t="shared" si="76"/>
        <v>48.093819622800083</v>
      </c>
      <c r="U136" s="405">
        <f t="shared" si="77"/>
        <v>3.0000000000000051E-2</v>
      </c>
      <c r="V136" s="406">
        <f t="shared" si="78"/>
        <v>143.32147609708591</v>
      </c>
      <c r="W136" s="404">
        <f t="shared" si="79"/>
        <v>9.5047090659693662E-2</v>
      </c>
      <c r="X136" s="403">
        <f t="shared" si="80"/>
        <v>49.536634211483943</v>
      </c>
      <c r="Y136" s="405">
        <f t="shared" si="81"/>
        <v>2.9999999999999964E-2</v>
      </c>
      <c r="Z136" s="406">
        <f t="shared" si="82"/>
        <v>192.85811030856985</v>
      </c>
      <c r="AA136" s="404">
        <f t="shared" si="83"/>
        <v>0.12789850337948444</v>
      </c>
      <c r="AB136" s="403">
        <f t="shared" si="84"/>
        <v>51.022733237828561</v>
      </c>
      <c r="AC136" s="405">
        <f t="shared" si="85"/>
        <v>3.0000000000000023E-2</v>
      </c>
      <c r="AD136" s="406">
        <f t="shared" si="86"/>
        <v>243.88084354639841</v>
      </c>
      <c r="AE136" s="404">
        <f t="shared" si="87"/>
        <v>0.16173545848086898</v>
      </c>
      <c r="AF136" s="403">
        <f t="shared" si="88"/>
        <v>52.553415234963495</v>
      </c>
      <c r="AG136" s="405">
        <f t="shared" si="89"/>
        <v>3.0000000000000068E-2</v>
      </c>
      <c r="AH136" s="406">
        <f t="shared" si="90"/>
        <v>296.4342587813619</v>
      </c>
      <c r="AI136" s="404">
        <f t="shared" si="91"/>
        <v>0.19658752223529513</v>
      </c>
      <c r="AJ136" s="403">
        <f t="shared" si="92"/>
        <v>54.130017692012416</v>
      </c>
      <c r="AK136" s="407">
        <f t="shared" si="93"/>
        <v>3.0000000000000075E-2</v>
      </c>
      <c r="AL136" s="408">
        <f t="shared" si="94"/>
        <v>350.56427647337432</v>
      </c>
      <c r="AM136" s="404">
        <f t="shared" si="95"/>
        <v>0.23248514790235408</v>
      </c>
      <c r="AN136" s="38"/>
    </row>
    <row r="137" spans="1:40" ht="12.75" x14ac:dyDescent="0.2">
      <c r="A137" s="26"/>
      <c r="B137" s="38"/>
      <c r="C137" s="296" t="s">
        <v>302</v>
      </c>
      <c r="D137" s="296" t="str">
        <f>IF('WK2 - Notional General Income'!C64="","",'WK2 - Notional General Income'!C64)</f>
        <v/>
      </c>
      <c r="E137" s="406" t="str">
        <f>IF('WK2 - Notional General Income'!L64="","",'WK2 - Notional General Income'!L64/'WK2 - Notional General Income'!D64)</f>
        <v/>
      </c>
      <c r="F137" s="406" t="str">
        <f>IF('WK3 - Notional GI 15-16 YIELD'!L62="","",'WK3 - Notional GI 15-16 YIELD'!L62/'WK3 - Notional GI 15-16 YIELD'!D62)</f>
        <v/>
      </c>
      <c r="G137" s="577"/>
      <c r="H137" s="577"/>
      <c r="I137" s="577"/>
      <c r="J137" s="577"/>
      <c r="K137" s="577"/>
      <c r="L137" s="577"/>
      <c r="M137" s="38"/>
      <c r="N137" s="403" t="str">
        <f t="shared" si="70"/>
        <v/>
      </c>
      <c r="O137" s="404" t="str">
        <f t="shared" si="71"/>
        <v/>
      </c>
      <c r="P137" s="403" t="str">
        <f t="shared" si="72"/>
        <v/>
      </c>
      <c r="Q137" s="405" t="str">
        <f t="shared" si="73"/>
        <v/>
      </c>
      <c r="R137" s="406" t="str">
        <f t="shared" si="74"/>
        <v/>
      </c>
      <c r="S137" s="404" t="str">
        <f t="shared" si="75"/>
        <v/>
      </c>
      <c r="T137" s="403" t="str">
        <f t="shared" si="76"/>
        <v/>
      </c>
      <c r="U137" s="405" t="str">
        <f t="shared" si="77"/>
        <v/>
      </c>
      <c r="V137" s="406" t="str">
        <f t="shared" si="78"/>
        <v/>
      </c>
      <c r="W137" s="404" t="str">
        <f t="shared" si="79"/>
        <v/>
      </c>
      <c r="X137" s="403" t="str">
        <f t="shared" si="80"/>
        <v/>
      </c>
      <c r="Y137" s="405" t="str">
        <f t="shared" si="81"/>
        <v/>
      </c>
      <c r="Z137" s="406" t="str">
        <f t="shared" si="82"/>
        <v/>
      </c>
      <c r="AA137" s="404" t="str">
        <f t="shared" si="83"/>
        <v/>
      </c>
      <c r="AB137" s="403" t="str">
        <f t="shared" si="84"/>
        <v/>
      </c>
      <c r="AC137" s="405" t="str">
        <f t="shared" si="85"/>
        <v/>
      </c>
      <c r="AD137" s="406" t="str">
        <f t="shared" si="86"/>
        <v/>
      </c>
      <c r="AE137" s="404" t="str">
        <f t="shared" si="87"/>
        <v/>
      </c>
      <c r="AF137" s="403" t="str">
        <f t="shared" si="88"/>
        <v/>
      </c>
      <c r="AG137" s="405" t="str">
        <f t="shared" si="89"/>
        <v/>
      </c>
      <c r="AH137" s="406" t="str">
        <f t="shared" si="90"/>
        <v/>
      </c>
      <c r="AI137" s="404" t="str">
        <f t="shared" si="91"/>
        <v/>
      </c>
      <c r="AJ137" s="403" t="str">
        <f t="shared" si="92"/>
        <v/>
      </c>
      <c r="AK137" s="407" t="str">
        <f t="shared" si="93"/>
        <v/>
      </c>
      <c r="AL137" s="408" t="str">
        <f t="shared" si="94"/>
        <v/>
      </c>
      <c r="AM137" s="404" t="str">
        <f t="shared" si="95"/>
        <v/>
      </c>
      <c r="AN137" s="38"/>
    </row>
    <row r="138" spans="1:40" ht="12.75" x14ac:dyDescent="0.2">
      <c r="A138" s="26"/>
      <c r="B138" s="38"/>
      <c r="C138" s="296" t="s">
        <v>302</v>
      </c>
      <c r="D138" s="296" t="str">
        <f>IF('WK2 - Notional General Income'!C65="","",'WK2 - Notional General Income'!C65)</f>
        <v/>
      </c>
      <c r="E138" s="406" t="str">
        <f>IF('WK2 - Notional General Income'!L65="","",'WK2 - Notional General Income'!L65/'WK2 - Notional General Income'!D65)</f>
        <v/>
      </c>
      <c r="F138" s="406" t="str">
        <f>IF('WK3 - Notional GI 15-16 YIELD'!L63="","",'WK3 - Notional GI 15-16 YIELD'!L63/'WK3 - Notional GI 15-16 YIELD'!D63)</f>
        <v/>
      </c>
      <c r="G138" s="577"/>
      <c r="H138" s="577"/>
      <c r="I138" s="577"/>
      <c r="J138" s="577"/>
      <c r="K138" s="577"/>
      <c r="L138" s="577"/>
      <c r="M138" s="38"/>
      <c r="N138" s="403" t="str">
        <f t="shared" si="70"/>
        <v/>
      </c>
      <c r="O138" s="404" t="str">
        <f t="shared" si="71"/>
        <v/>
      </c>
      <c r="P138" s="403" t="str">
        <f t="shared" si="72"/>
        <v/>
      </c>
      <c r="Q138" s="405" t="str">
        <f t="shared" si="73"/>
        <v/>
      </c>
      <c r="R138" s="406" t="str">
        <f t="shared" si="74"/>
        <v/>
      </c>
      <c r="S138" s="404" t="str">
        <f t="shared" si="75"/>
        <v/>
      </c>
      <c r="T138" s="403" t="str">
        <f t="shared" si="76"/>
        <v/>
      </c>
      <c r="U138" s="405" t="str">
        <f t="shared" si="77"/>
        <v/>
      </c>
      <c r="V138" s="406" t="str">
        <f t="shared" si="78"/>
        <v/>
      </c>
      <c r="W138" s="404" t="str">
        <f t="shared" si="79"/>
        <v/>
      </c>
      <c r="X138" s="403" t="str">
        <f t="shared" si="80"/>
        <v/>
      </c>
      <c r="Y138" s="405" t="str">
        <f t="shared" si="81"/>
        <v/>
      </c>
      <c r="Z138" s="406" t="str">
        <f t="shared" si="82"/>
        <v/>
      </c>
      <c r="AA138" s="404" t="str">
        <f t="shared" si="83"/>
        <v/>
      </c>
      <c r="AB138" s="403" t="str">
        <f t="shared" si="84"/>
        <v/>
      </c>
      <c r="AC138" s="405" t="str">
        <f t="shared" si="85"/>
        <v/>
      </c>
      <c r="AD138" s="406" t="str">
        <f t="shared" si="86"/>
        <v/>
      </c>
      <c r="AE138" s="404" t="str">
        <f t="shared" si="87"/>
        <v/>
      </c>
      <c r="AF138" s="403" t="str">
        <f t="shared" si="88"/>
        <v/>
      </c>
      <c r="AG138" s="405" t="str">
        <f t="shared" si="89"/>
        <v/>
      </c>
      <c r="AH138" s="406" t="str">
        <f t="shared" si="90"/>
        <v/>
      </c>
      <c r="AI138" s="404" t="str">
        <f t="shared" si="91"/>
        <v/>
      </c>
      <c r="AJ138" s="403" t="str">
        <f t="shared" si="92"/>
        <v/>
      </c>
      <c r="AK138" s="407" t="str">
        <f t="shared" si="93"/>
        <v/>
      </c>
      <c r="AL138" s="408" t="str">
        <f t="shared" si="94"/>
        <v/>
      </c>
      <c r="AM138" s="404" t="str">
        <f t="shared" si="95"/>
        <v/>
      </c>
      <c r="AN138" s="38"/>
    </row>
    <row r="139" spans="1:40" ht="12.75" x14ac:dyDescent="0.2">
      <c r="A139" s="26"/>
      <c r="B139" s="38"/>
      <c r="C139" s="296" t="s">
        <v>302</v>
      </c>
      <c r="D139" s="296" t="str">
        <f>IF('WK2 - Notional General Income'!C66="","",'WK2 - Notional General Income'!C66)</f>
        <v/>
      </c>
      <c r="E139" s="406" t="str">
        <f>IF('WK2 - Notional General Income'!L66="","",'WK2 - Notional General Income'!L66/'WK2 - Notional General Income'!D66)</f>
        <v/>
      </c>
      <c r="F139" s="406" t="str">
        <f>IF('WK3 - Notional GI 15-16 YIELD'!L64="","",'WK3 - Notional GI 15-16 YIELD'!L64/'WK3 - Notional GI 15-16 YIELD'!D64)</f>
        <v/>
      </c>
      <c r="G139" s="577"/>
      <c r="H139" s="577"/>
      <c r="I139" s="577"/>
      <c r="J139" s="577"/>
      <c r="K139" s="577"/>
      <c r="L139" s="577"/>
      <c r="M139" s="38"/>
      <c r="N139" s="403" t="str">
        <f t="shared" si="70"/>
        <v/>
      </c>
      <c r="O139" s="404" t="str">
        <f t="shared" si="71"/>
        <v/>
      </c>
      <c r="P139" s="403" t="str">
        <f t="shared" si="72"/>
        <v/>
      </c>
      <c r="Q139" s="405" t="str">
        <f t="shared" si="73"/>
        <v/>
      </c>
      <c r="R139" s="406" t="str">
        <f t="shared" si="74"/>
        <v/>
      </c>
      <c r="S139" s="404" t="str">
        <f t="shared" si="75"/>
        <v/>
      </c>
      <c r="T139" s="403" t="str">
        <f t="shared" si="76"/>
        <v/>
      </c>
      <c r="U139" s="405" t="str">
        <f t="shared" si="77"/>
        <v/>
      </c>
      <c r="V139" s="406" t="str">
        <f t="shared" si="78"/>
        <v/>
      </c>
      <c r="W139" s="404" t="str">
        <f t="shared" si="79"/>
        <v/>
      </c>
      <c r="X139" s="403" t="str">
        <f t="shared" si="80"/>
        <v/>
      </c>
      <c r="Y139" s="405" t="str">
        <f t="shared" si="81"/>
        <v/>
      </c>
      <c r="Z139" s="406" t="str">
        <f t="shared" si="82"/>
        <v/>
      </c>
      <c r="AA139" s="404" t="str">
        <f t="shared" si="83"/>
        <v/>
      </c>
      <c r="AB139" s="403" t="str">
        <f t="shared" si="84"/>
        <v/>
      </c>
      <c r="AC139" s="405" t="str">
        <f t="shared" si="85"/>
        <v/>
      </c>
      <c r="AD139" s="406" t="str">
        <f t="shared" si="86"/>
        <v/>
      </c>
      <c r="AE139" s="404" t="str">
        <f t="shared" si="87"/>
        <v/>
      </c>
      <c r="AF139" s="403" t="str">
        <f t="shared" si="88"/>
        <v/>
      </c>
      <c r="AG139" s="405" t="str">
        <f t="shared" si="89"/>
        <v/>
      </c>
      <c r="AH139" s="406" t="str">
        <f t="shared" si="90"/>
        <v/>
      </c>
      <c r="AI139" s="404" t="str">
        <f t="shared" si="91"/>
        <v/>
      </c>
      <c r="AJ139" s="403" t="str">
        <f t="shared" si="92"/>
        <v/>
      </c>
      <c r="AK139" s="407" t="str">
        <f t="shared" si="93"/>
        <v/>
      </c>
      <c r="AL139" s="408" t="str">
        <f t="shared" si="94"/>
        <v/>
      </c>
      <c r="AM139" s="404" t="str">
        <f t="shared" si="95"/>
        <v/>
      </c>
      <c r="AN139" s="38"/>
    </row>
    <row r="140" spans="1:40" ht="12.75" x14ac:dyDescent="0.2">
      <c r="A140" s="26"/>
      <c r="B140" s="38"/>
      <c r="C140" s="296" t="s">
        <v>302</v>
      </c>
      <c r="D140" s="296" t="str">
        <f>IF('WK2 - Notional General Income'!C67="","",'WK2 - Notional General Income'!C67)</f>
        <v/>
      </c>
      <c r="E140" s="406" t="str">
        <f>IF('WK2 - Notional General Income'!L67="","",'WK2 - Notional General Income'!L67/'WK2 - Notional General Income'!D67)</f>
        <v/>
      </c>
      <c r="F140" s="406" t="str">
        <f>IF('WK3 - Notional GI 15-16 YIELD'!L65="","",'WK3 - Notional GI 15-16 YIELD'!L65/'WK3 - Notional GI 15-16 YIELD'!D65)</f>
        <v/>
      </c>
      <c r="G140" s="577"/>
      <c r="H140" s="577"/>
      <c r="I140" s="577"/>
      <c r="J140" s="577"/>
      <c r="K140" s="577"/>
      <c r="L140" s="577"/>
      <c r="M140" s="38"/>
      <c r="N140" s="403" t="str">
        <f t="shared" si="70"/>
        <v/>
      </c>
      <c r="O140" s="404" t="str">
        <f t="shared" si="71"/>
        <v/>
      </c>
      <c r="P140" s="403" t="str">
        <f t="shared" si="72"/>
        <v/>
      </c>
      <c r="Q140" s="405" t="str">
        <f t="shared" si="73"/>
        <v/>
      </c>
      <c r="R140" s="406" t="str">
        <f t="shared" si="74"/>
        <v/>
      </c>
      <c r="S140" s="404" t="str">
        <f t="shared" si="75"/>
        <v/>
      </c>
      <c r="T140" s="403" t="str">
        <f t="shared" si="76"/>
        <v/>
      </c>
      <c r="U140" s="405" t="str">
        <f t="shared" si="77"/>
        <v/>
      </c>
      <c r="V140" s="406" t="str">
        <f t="shared" si="78"/>
        <v/>
      </c>
      <c r="W140" s="404" t="str">
        <f t="shared" si="79"/>
        <v/>
      </c>
      <c r="X140" s="403" t="str">
        <f t="shared" si="80"/>
        <v/>
      </c>
      <c r="Y140" s="405" t="str">
        <f t="shared" si="81"/>
        <v/>
      </c>
      <c r="Z140" s="406" t="str">
        <f t="shared" si="82"/>
        <v/>
      </c>
      <c r="AA140" s="404" t="str">
        <f t="shared" si="83"/>
        <v/>
      </c>
      <c r="AB140" s="403" t="str">
        <f t="shared" si="84"/>
        <v/>
      </c>
      <c r="AC140" s="405" t="str">
        <f t="shared" si="85"/>
        <v/>
      </c>
      <c r="AD140" s="406" t="str">
        <f t="shared" si="86"/>
        <v/>
      </c>
      <c r="AE140" s="404" t="str">
        <f t="shared" si="87"/>
        <v/>
      </c>
      <c r="AF140" s="403" t="str">
        <f t="shared" si="88"/>
        <v/>
      </c>
      <c r="AG140" s="405" t="str">
        <f t="shared" si="89"/>
        <v/>
      </c>
      <c r="AH140" s="406" t="str">
        <f t="shared" si="90"/>
        <v/>
      </c>
      <c r="AI140" s="404" t="str">
        <f t="shared" si="91"/>
        <v/>
      </c>
      <c r="AJ140" s="403" t="str">
        <f t="shared" si="92"/>
        <v/>
      </c>
      <c r="AK140" s="407" t="str">
        <f t="shared" si="93"/>
        <v/>
      </c>
      <c r="AL140" s="408" t="str">
        <f t="shared" si="94"/>
        <v/>
      </c>
      <c r="AM140" s="404" t="str">
        <f t="shared" si="95"/>
        <v/>
      </c>
      <c r="AN140" s="38"/>
    </row>
    <row r="141" spans="1:40" ht="12.75" x14ac:dyDescent="0.2">
      <c r="A141" s="26"/>
      <c r="B141" s="38"/>
      <c r="C141" s="296" t="s">
        <v>302</v>
      </c>
      <c r="D141" s="296" t="str">
        <f>IF('WK2 - Notional General Income'!C68="","",'WK2 - Notional General Income'!C68)</f>
        <v/>
      </c>
      <c r="E141" s="406" t="str">
        <f>IF('WK2 - Notional General Income'!L68="","",'WK2 - Notional General Income'!L68/'WK2 - Notional General Income'!D68)</f>
        <v/>
      </c>
      <c r="F141" s="406" t="str">
        <f>IF('WK3 - Notional GI 15-16 YIELD'!L66="","",'WK3 - Notional GI 15-16 YIELD'!L66/'WK3 - Notional GI 15-16 YIELD'!D66)</f>
        <v/>
      </c>
      <c r="G141" s="577"/>
      <c r="H141" s="577"/>
      <c r="I141" s="577"/>
      <c r="J141" s="577"/>
      <c r="K141" s="577"/>
      <c r="L141" s="577"/>
      <c r="M141" s="38"/>
      <c r="N141" s="403" t="str">
        <f t="shared" si="70"/>
        <v/>
      </c>
      <c r="O141" s="404" t="str">
        <f t="shared" si="71"/>
        <v/>
      </c>
      <c r="P141" s="403" t="str">
        <f t="shared" si="72"/>
        <v/>
      </c>
      <c r="Q141" s="405" t="str">
        <f t="shared" si="73"/>
        <v/>
      </c>
      <c r="R141" s="406" t="str">
        <f t="shared" si="74"/>
        <v/>
      </c>
      <c r="S141" s="404" t="str">
        <f t="shared" si="75"/>
        <v/>
      </c>
      <c r="T141" s="403" t="str">
        <f t="shared" si="76"/>
        <v/>
      </c>
      <c r="U141" s="405" t="str">
        <f t="shared" si="77"/>
        <v/>
      </c>
      <c r="V141" s="406" t="str">
        <f t="shared" si="78"/>
        <v/>
      </c>
      <c r="W141" s="404" t="str">
        <f t="shared" si="79"/>
        <v/>
      </c>
      <c r="X141" s="403" t="str">
        <f t="shared" si="80"/>
        <v/>
      </c>
      <c r="Y141" s="405" t="str">
        <f t="shared" si="81"/>
        <v/>
      </c>
      <c r="Z141" s="406" t="str">
        <f t="shared" si="82"/>
        <v/>
      </c>
      <c r="AA141" s="404" t="str">
        <f t="shared" si="83"/>
        <v/>
      </c>
      <c r="AB141" s="403" t="str">
        <f t="shared" si="84"/>
        <v/>
      </c>
      <c r="AC141" s="405" t="str">
        <f t="shared" si="85"/>
        <v/>
      </c>
      <c r="AD141" s="406" t="str">
        <f t="shared" si="86"/>
        <v/>
      </c>
      <c r="AE141" s="404" t="str">
        <f t="shared" si="87"/>
        <v/>
      </c>
      <c r="AF141" s="403" t="str">
        <f t="shared" si="88"/>
        <v/>
      </c>
      <c r="AG141" s="405" t="str">
        <f t="shared" si="89"/>
        <v/>
      </c>
      <c r="AH141" s="406" t="str">
        <f t="shared" si="90"/>
        <v/>
      </c>
      <c r="AI141" s="404" t="str">
        <f t="shared" si="91"/>
        <v/>
      </c>
      <c r="AJ141" s="403" t="str">
        <f t="shared" si="92"/>
        <v/>
      </c>
      <c r="AK141" s="407" t="str">
        <f t="shared" si="93"/>
        <v/>
      </c>
      <c r="AL141" s="408" t="str">
        <f t="shared" si="94"/>
        <v/>
      </c>
      <c r="AM141" s="404" t="str">
        <f t="shared" si="95"/>
        <v/>
      </c>
      <c r="AN141" s="38"/>
    </row>
    <row r="142" spans="1:40" ht="12.75" x14ac:dyDescent="0.2">
      <c r="A142" s="26"/>
      <c r="B142" s="38"/>
      <c r="C142" s="296" t="s">
        <v>302</v>
      </c>
      <c r="D142" s="296" t="str">
        <f>IF('WK2 - Notional General Income'!C69="","",'WK2 - Notional General Income'!C69)</f>
        <v/>
      </c>
      <c r="E142" s="406" t="str">
        <f>IF('WK2 - Notional General Income'!L69="","",'WK2 - Notional General Income'!L69/'WK2 - Notional General Income'!D69)</f>
        <v/>
      </c>
      <c r="F142" s="406" t="str">
        <f>IF('WK3 - Notional GI 15-16 YIELD'!L67="","",'WK3 - Notional GI 15-16 YIELD'!L67/'WK3 - Notional GI 15-16 YIELD'!D67)</f>
        <v/>
      </c>
      <c r="G142" s="577"/>
      <c r="H142" s="577"/>
      <c r="I142" s="577"/>
      <c r="J142" s="577"/>
      <c r="K142" s="577"/>
      <c r="L142" s="577"/>
      <c r="M142" s="38"/>
      <c r="N142" s="403" t="str">
        <f t="shared" si="70"/>
        <v/>
      </c>
      <c r="O142" s="404" t="str">
        <f t="shared" si="71"/>
        <v/>
      </c>
      <c r="P142" s="403" t="str">
        <f t="shared" si="72"/>
        <v/>
      </c>
      <c r="Q142" s="405" t="str">
        <f t="shared" si="73"/>
        <v/>
      </c>
      <c r="R142" s="406" t="str">
        <f t="shared" si="74"/>
        <v/>
      </c>
      <c r="S142" s="404" t="str">
        <f t="shared" si="75"/>
        <v/>
      </c>
      <c r="T142" s="403" t="str">
        <f t="shared" si="76"/>
        <v/>
      </c>
      <c r="U142" s="405" t="str">
        <f t="shared" si="77"/>
        <v/>
      </c>
      <c r="V142" s="406" t="str">
        <f t="shared" si="78"/>
        <v/>
      </c>
      <c r="W142" s="404" t="str">
        <f t="shared" si="79"/>
        <v/>
      </c>
      <c r="X142" s="403" t="str">
        <f t="shared" si="80"/>
        <v/>
      </c>
      <c r="Y142" s="405" t="str">
        <f t="shared" si="81"/>
        <v/>
      </c>
      <c r="Z142" s="406" t="str">
        <f t="shared" si="82"/>
        <v/>
      </c>
      <c r="AA142" s="404" t="str">
        <f t="shared" si="83"/>
        <v/>
      </c>
      <c r="AB142" s="403" t="str">
        <f t="shared" si="84"/>
        <v/>
      </c>
      <c r="AC142" s="405" t="str">
        <f t="shared" si="85"/>
        <v/>
      </c>
      <c r="AD142" s="406" t="str">
        <f t="shared" si="86"/>
        <v/>
      </c>
      <c r="AE142" s="404" t="str">
        <f t="shared" si="87"/>
        <v/>
      </c>
      <c r="AF142" s="403" t="str">
        <f t="shared" si="88"/>
        <v/>
      </c>
      <c r="AG142" s="405" t="str">
        <f t="shared" si="89"/>
        <v/>
      </c>
      <c r="AH142" s="406" t="str">
        <f t="shared" si="90"/>
        <v/>
      </c>
      <c r="AI142" s="404" t="str">
        <f t="shared" si="91"/>
        <v/>
      </c>
      <c r="AJ142" s="403" t="str">
        <f t="shared" si="92"/>
        <v/>
      </c>
      <c r="AK142" s="407" t="str">
        <f t="shared" si="93"/>
        <v/>
      </c>
      <c r="AL142" s="408" t="str">
        <f t="shared" si="94"/>
        <v/>
      </c>
      <c r="AM142" s="404" t="str">
        <f t="shared" si="95"/>
        <v/>
      </c>
      <c r="AN142" s="38"/>
    </row>
    <row r="143" spans="1:40" ht="12.75" x14ac:dyDescent="0.2">
      <c r="A143" s="26"/>
      <c r="B143" s="38"/>
      <c r="C143" s="296" t="s">
        <v>302</v>
      </c>
      <c r="D143" s="296" t="str">
        <f>IF('WK2 - Notional General Income'!C70="","",'WK2 - Notional General Income'!C70)</f>
        <v/>
      </c>
      <c r="E143" s="406" t="str">
        <f>IF('WK2 - Notional General Income'!L70="","",'WK2 - Notional General Income'!L70/'WK2 - Notional General Income'!D70)</f>
        <v/>
      </c>
      <c r="F143" s="406" t="str">
        <f>IF('WK3 - Notional GI 15-16 YIELD'!L68="","",'WK3 - Notional GI 15-16 YIELD'!L68/'WK3 - Notional GI 15-16 YIELD'!D68)</f>
        <v/>
      </c>
      <c r="G143" s="577"/>
      <c r="H143" s="577"/>
      <c r="I143" s="577"/>
      <c r="J143" s="577"/>
      <c r="K143" s="577"/>
      <c r="L143" s="577"/>
      <c r="M143" s="38"/>
      <c r="N143" s="403" t="str">
        <f t="shared" si="70"/>
        <v/>
      </c>
      <c r="O143" s="404" t="str">
        <f t="shared" si="71"/>
        <v/>
      </c>
      <c r="P143" s="403" t="str">
        <f t="shared" si="72"/>
        <v/>
      </c>
      <c r="Q143" s="405" t="str">
        <f t="shared" si="73"/>
        <v/>
      </c>
      <c r="R143" s="406" t="str">
        <f t="shared" si="74"/>
        <v/>
      </c>
      <c r="S143" s="404" t="str">
        <f t="shared" si="75"/>
        <v/>
      </c>
      <c r="T143" s="403" t="str">
        <f t="shared" si="76"/>
        <v/>
      </c>
      <c r="U143" s="405" t="str">
        <f t="shared" si="77"/>
        <v/>
      </c>
      <c r="V143" s="406" t="str">
        <f t="shared" si="78"/>
        <v/>
      </c>
      <c r="W143" s="404" t="str">
        <f t="shared" si="79"/>
        <v/>
      </c>
      <c r="X143" s="403" t="str">
        <f t="shared" si="80"/>
        <v/>
      </c>
      <c r="Y143" s="405" t="str">
        <f t="shared" si="81"/>
        <v/>
      </c>
      <c r="Z143" s="406" t="str">
        <f t="shared" si="82"/>
        <v/>
      </c>
      <c r="AA143" s="404" t="str">
        <f t="shared" si="83"/>
        <v/>
      </c>
      <c r="AB143" s="403" t="str">
        <f t="shared" si="84"/>
        <v/>
      </c>
      <c r="AC143" s="405" t="str">
        <f t="shared" si="85"/>
        <v/>
      </c>
      <c r="AD143" s="406" t="str">
        <f t="shared" si="86"/>
        <v/>
      </c>
      <c r="AE143" s="404" t="str">
        <f t="shared" si="87"/>
        <v/>
      </c>
      <c r="AF143" s="403" t="str">
        <f t="shared" si="88"/>
        <v/>
      </c>
      <c r="AG143" s="405" t="str">
        <f t="shared" si="89"/>
        <v/>
      </c>
      <c r="AH143" s="406" t="str">
        <f t="shared" si="90"/>
        <v/>
      </c>
      <c r="AI143" s="404" t="str">
        <f t="shared" si="91"/>
        <v/>
      </c>
      <c r="AJ143" s="403" t="str">
        <f t="shared" si="92"/>
        <v/>
      </c>
      <c r="AK143" s="407" t="str">
        <f t="shared" si="93"/>
        <v/>
      </c>
      <c r="AL143" s="408" t="str">
        <f t="shared" si="94"/>
        <v/>
      </c>
      <c r="AM143" s="404" t="str">
        <f t="shared" si="95"/>
        <v/>
      </c>
      <c r="AN143" s="38"/>
    </row>
    <row r="144" spans="1:40" ht="12.75" x14ac:dyDescent="0.2">
      <c r="A144" s="26"/>
      <c r="B144" s="38"/>
      <c r="C144" s="296" t="s">
        <v>302</v>
      </c>
      <c r="D144" s="296" t="str">
        <f>IF('WK2 - Notional General Income'!C71="","",'WK2 - Notional General Income'!C71)</f>
        <v/>
      </c>
      <c r="E144" s="406" t="str">
        <f>IF('WK2 - Notional General Income'!L71="","",'WK2 - Notional General Income'!L71/'WK2 - Notional General Income'!D71)</f>
        <v/>
      </c>
      <c r="F144" s="406" t="str">
        <f>IF('WK3 - Notional GI 15-16 YIELD'!L69="","",'WK3 - Notional GI 15-16 YIELD'!L69/'WK3 - Notional GI 15-16 YIELD'!D69)</f>
        <v/>
      </c>
      <c r="G144" s="577"/>
      <c r="H144" s="577"/>
      <c r="I144" s="577"/>
      <c r="J144" s="577"/>
      <c r="K144" s="577"/>
      <c r="L144" s="577"/>
      <c r="M144" s="38"/>
      <c r="N144" s="403" t="str">
        <f t="shared" si="70"/>
        <v/>
      </c>
      <c r="O144" s="404" t="str">
        <f t="shared" si="71"/>
        <v/>
      </c>
      <c r="P144" s="403" t="str">
        <f t="shared" si="72"/>
        <v/>
      </c>
      <c r="Q144" s="405" t="str">
        <f t="shared" si="73"/>
        <v/>
      </c>
      <c r="R144" s="406" t="str">
        <f t="shared" si="74"/>
        <v/>
      </c>
      <c r="S144" s="404" t="str">
        <f t="shared" si="75"/>
        <v/>
      </c>
      <c r="T144" s="403" t="str">
        <f t="shared" si="76"/>
        <v/>
      </c>
      <c r="U144" s="405" t="str">
        <f t="shared" si="77"/>
        <v/>
      </c>
      <c r="V144" s="406" t="str">
        <f t="shared" si="78"/>
        <v/>
      </c>
      <c r="W144" s="404" t="str">
        <f t="shared" si="79"/>
        <v/>
      </c>
      <c r="X144" s="403" t="str">
        <f t="shared" si="80"/>
        <v/>
      </c>
      <c r="Y144" s="405" t="str">
        <f t="shared" si="81"/>
        <v/>
      </c>
      <c r="Z144" s="406" t="str">
        <f t="shared" si="82"/>
        <v/>
      </c>
      <c r="AA144" s="404" t="str">
        <f t="shared" si="83"/>
        <v/>
      </c>
      <c r="AB144" s="403" t="str">
        <f t="shared" si="84"/>
        <v/>
      </c>
      <c r="AC144" s="405" t="str">
        <f t="shared" si="85"/>
        <v/>
      </c>
      <c r="AD144" s="406" t="str">
        <f t="shared" si="86"/>
        <v/>
      </c>
      <c r="AE144" s="404" t="str">
        <f t="shared" si="87"/>
        <v/>
      </c>
      <c r="AF144" s="403" t="str">
        <f t="shared" si="88"/>
        <v/>
      </c>
      <c r="AG144" s="405" t="str">
        <f t="shared" si="89"/>
        <v/>
      </c>
      <c r="AH144" s="406" t="str">
        <f t="shared" si="90"/>
        <v/>
      </c>
      <c r="AI144" s="404" t="str">
        <f t="shared" si="91"/>
        <v/>
      </c>
      <c r="AJ144" s="403" t="str">
        <f t="shared" si="92"/>
        <v/>
      </c>
      <c r="AK144" s="407" t="str">
        <f t="shared" si="93"/>
        <v/>
      </c>
      <c r="AL144" s="408" t="str">
        <f t="shared" si="94"/>
        <v/>
      </c>
      <c r="AM144" s="404" t="str">
        <f t="shared" si="95"/>
        <v/>
      </c>
      <c r="AN144" s="38"/>
    </row>
    <row r="145" spans="1:40" ht="12.75" x14ac:dyDescent="0.2">
      <c r="A145" s="26"/>
      <c r="B145" s="38"/>
      <c r="C145" s="296" t="s">
        <v>637</v>
      </c>
      <c r="D145" s="296" t="str">
        <f>IF('WK2 - Notional General Income'!C123="","",'WK2 - Notional General Income'!C123)</f>
        <v/>
      </c>
      <c r="E145" s="406" t="str">
        <f>IF('WK2 - Notional General Income'!L123="","",'WK2 - Notional General Income'!L123/'WK2 - Notional General Income'!D123)</f>
        <v/>
      </c>
      <c r="F145" s="406" t="str">
        <f>IF('WK3 - Notional GI 15-16 YIELD'!L121="","",'WK3 - Notional GI 15-16 YIELD'!L121/'WK3 - Notional GI 15-16 YIELD'!D121)</f>
        <v/>
      </c>
      <c r="G145" s="577"/>
      <c r="H145" s="577"/>
      <c r="I145" s="577"/>
      <c r="J145" s="577"/>
      <c r="K145" s="577"/>
      <c r="L145" s="577"/>
      <c r="M145" s="38"/>
      <c r="N145" s="403" t="str">
        <f t="shared" si="70"/>
        <v/>
      </c>
      <c r="O145" s="404" t="str">
        <f t="shared" si="71"/>
        <v/>
      </c>
      <c r="P145" s="403" t="str">
        <f t="shared" si="72"/>
        <v/>
      </c>
      <c r="Q145" s="405" t="str">
        <f t="shared" si="73"/>
        <v/>
      </c>
      <c r="R145" s="406" t="str">
        <f t="shared" si="74"/>
        <v/>
      </c>
      <c r="S145" s="404" t="str">
        <f t="shared" si="75"/>
        <v/>
      </c>
      <c r="T145" s="403" t="str">
        <f t="shared" si="76"/>
        <v/>
      </c>
      <c r="U145" s="405" t="str">
        <f t="shared" si="77"/>
        <v/>
      </c>
      <c r="V145" s="406" t="str">
        <f t="shared" si="78"/>
        <v/>
      </c>
      <c r="W145" s="404" t="str">
        <f t="shared" si="79"/>
        <v/>
      </c>
      <c r="X145" s="403" t="str">
        <f t="shared" si="80"/>
        <v/>
      </c>
      <c r="Y145" s="405" t="str">
        <f t="shared" si="81"/>
        <v/>
      </c>
      <c r="Z145" s="406" t="str">
        <f t="shared" si="82"/>
        <v/>
      </c>
      <c r="AA145" s="404" t="str">
        <f t="shared" si="83"/>
        <v/>
      </c>
      <c r="AB145" s="403" t="str">
        <f t="shared" si="84"/>
        <v/>
      </c>
      <c r="AC145" s="405" t="str">
        <f t="shared" si="85"/>
        <v/>
      </c>
      <c r="AD145" s="406" t="str">
        <f t="shared" si="86"/>
        <v/>
      </c>
      <c r="AE145" s="404" t="str">
        <f t="shared" si="87"/>
        <v/>
      </c>
      <c r="AF145" s="403" t="str">
        <f t="shared" si="88"/>
        <v/>
      </c>
      <c r="AG145" s="405" t="str">
        <f t="shared" si="89"/>
        <v/>
      </c>
      <c r="AH145" s="406" t="str">
        <f t="shared" si="90"/>
        <v/>
      </c>
      <c r="AI145" s="404" t="str">
        <f t="shared" si="91"/>
        <v/>
      </c>
      <c r="AJ145" s="403" t="str">
        <f t="shared" si="92"/>
        <v/>
      </c>
      <c r="AK145" s="407" t="str">
        <f t="shared" si="93"/>
        <v/>
      </c>
      <c r="AL145" s="408" t="str">
        <f t="shared" si="94"/>
        <v/>
      </c>
      <c r="AM145" s="404" t="str">
        <f t="shared" si="95"/>
        <v/>
      </c>
      <c r="AN145" s="38"/>
    </row>
    <row r="146" spans="1:40" ht="12.75" x14ac:dyDescent="0.2">
      <c r="A146" s="26"/>
      <c r="B146" s="38"/>
      <c r="C146" s="296" t="s">
        <v>637</v>
      </c>
      <c r="D146" s="296" t="str">
        <f>IF('WK2 - Notional General Income'!C124="","",'WK2 - Notional General Income'!C124)</f>
        <v/>
      </c>
      <c r="E146" s="406" t="str">
        <f>IF('WK2 - Notional General Income'!L124="","",'WK2 - Notional General Income'!L124/'WK2 - Notional General Income'!D124)</f>
        <v/>
      </c>
      <c r="F146" s="406" t="str">
        <f>IF('WK3 - Notional GI 15-16 YIELD'!L122="","",'WK3 - Notional GI 15-16 YIELD'!L122/'WK3 - Notional GI 15-16 YIELD'!D122)</f>
        <v/>
      </c>
      <c r="G146" s="577"/>
      <c r="H146" s="577"/>
      <c r="I146" s="577"/>
      <c r="J146" s="577"/>
      <c r="K146" s="577"/>
      <c r="L146" s="577"/>
      <c r="M146" s="38"/>
      <c r="N146" s="403" t="str">
        <f t="shared" si="70"/>
        <v/>
      </c>
      <c r="O146" s="404" t="str">
        <f t="shared" si="71"/>
        <v/>
      </c>
      <c r="P146" s="403" t="str">
        <f t="shared" si="72"/>
        <v/>
      </c>
      <c r="Q146" s="405" t="str">
        <f t="shared" si="73"/>
        <v/>
      </c>
      <c r="R146" s="406" t="str">
        <f t="shared" si="74"/>
        <v/>
      </c>
      <c r="S146" s="404" t="str">
        <f t="shared" si="75"/>
        <v/>
      </c>
      <c r="T146" s="403" t="str">
        <f t="shared" si="76"/>
        <v/>
      </c>
      <c r="U146" s="405" t="str">
        <f t="shared" si="77"/>
        <v/>
      </c>
      <c r="V146" s="406" t="str">
        <f t="shared" si="78"/>
        <v/>
      </c>
      <c r="W146" s="404" t="str">
        <f t="shared" si="79"/>
        <v/>
      </c>
      <c r="X146" s="403" t="str">
        <f t="shared" si="80"/>
        <v/>
      </c>
      <c r="Y146" s="405" t="str">
        <f t="shared" si="81"/>
        <v/>
      </c>
      <c r="Z146" s="406" t="str">
        <f t="shared" si="82"/>
        <v/>
      </c>
      <c r="AA146" s="404" t="str">
        <f t="shared" si="83"/>
        <v/>
      </c>
      <c r="AB146" s="403" t="str">
        <f t="shared" si="84"/>
        <v/>
      </c>
      <c r="AC146" s="405" t="str">
        <f t="shared" si="85"/>
        <v/>
      </c>
      <c r="AD146" s="406" t="str">
        <f t="shared" si="86"/>
        <v/>
      </c>
      <c r="AE146" s="404" t="str">
        <f t="shared" si="87"/>
        <v/>
      </c>
      <c r="AF146" s="403" t="str">
        <f t="shared" si="88"/>
        <v/>
      </c>
      <c r="AG146" s="405" t="str">
        <f t="shared" si="89"/>
        <v/>
      </c>
      <c r="AH146" s="406" t="str">
        <f t="shared" si="90"/>
        <v/>
      </c>
      <c r="AI146" s="404" t="str">
        <f t="shared" si="91"/>
        <v/>
      </c>
      <c r="AJ146" s="403" t="str">
        <f t="shared" si="92"/>
        <v/>
      </c>
      <c r="AK146" s="407" t="str">
        <f t="shared" si="93"/>
        <v/>
      </c>
      <c r="AL146" s="408" t="str">
        <f t="shared" si="94"/>
        <v/>
      </c>
      <c r="AM146" s="404" t="str">
        <f t="shared" si="95"/>
        <v/>
      </c>
      <c r="AN146" s="38"/>
    </row>
    <row r="147" spans="1:40" ht="12.75" x14ac:dyDescent="0.2">
      <c r="A147" s="26"/>
      <c r="B147" s="38"/>
      <c r="C147" s="296" t="s">
        <v>637</v>
      </c>
      <c r="D147" s="296" t="str">
        <f>IF('WK2 - Notional General Income'!C125="","",'WK2 - Notional General Income'!C125)</f>
        <v/>
      </c>
      <c r="E147" s="406" t="str">
        <f>IF('WK2 - Notional General Income'!L125="","",'WK2 - Notional General Income'!L125/'WK2 - Notional General Income'!D125)</f>
        <v/>
      </c>
      <c r="F147" s="406" t="str">
        <f>IF('WK3 - Notional GI 15-16 YIELD'!L123="","",'WK3 - Notional GI 15-16 YIELD'!L123/'WK3 - Notional GI 15-16 YIELD'!D123)</f>
        <v/>
      </c>
      <c r="G147" s="577"/>
      <c r="H147" s="577"/>
      <c r="I147" s="577"/>
      <c r="J147" s="577"/>
      <c r="K147" s="577"/>
      <c r="L147" s="577"/>
      <c r="M147" s="38"/>
      <c r="N147" s="403" t="str">
        <f t="shared" si="70"/>
        <v/>
      </c>
      <c r="O147" s="404" t="str">
        <f t="shared" si="71"/>
        <v/>
      </c>
      <c r="P147" s="403" t="str">
        <f t="shared" si="72"/>
        <v/>
      </c>
      <c r="Q147" s="405" t="str">
        <f t="shared" si="73"/>
        <v/>
      </c>
      <c r="R147" s="406" t="str">
        <f t="shared" si="74"/>
        <v/>
      </c>
      <c r="S147" s="404" t="str">
        <f t="shared" si="75"/>
        <v/>
      </c>
      <c r="T147" s="403" t="str">
        <f t="shared" si="76"/>
        <v/>
      </c>
      <c r="U147" s="405" t="str">
        <f t="shared" si="77"/>
        <v/>
      </c>
      <c r="V147" s="406" t="str">
        <f t="shared" si="78"/>
        <v/>
      </c>
      <c r="W147" s="404" t="str">
        <f t="shared" si="79"/>
        <v/>
      </c>
      <c r="X147" s="403" t="str">
        <f t="shared" si="80"/>
        <v/>
      </c>
      <c r="Y147" s="405" t="str">
        <f t="shared" si="81"/>
        <v/>
      </c>
      <c r="Z147" s="406" t="str">
        <f t="shared" si="82"/>
        <v/>
      </c>
      <c r="AA147" s="404" t="str">
        <f t="shared" si="83"/>
        <v/>
      </c>
      <c r="AB147" s="403" t="str">
        <f t="shared" si="84"/>
        <v/>
      </c>
      <c r="AC147" s="405" t="str">
        <f t="shared" si="85"/>
        <v/>
      </c>
      <c r="AD147" s="406" t="str">
        <f t="shared" si="86"/>
        <v/>
      </c>
      <c r="AE147" s="404" t="str">
        <f t="shared" si="87"/>
        <v/>
      </c>
      <c r="AF147" s="403" t="str">
        <f t="shared" si="88"/>
        <v/>
      </c>
      <c r="AG147" s="405" t="str">
        <f t="shared" si="89"/>
        <v/>
      </c>
      <c r="AH147" s="406" t="str">
        <f t="shared" si="90"/>
        <v/>
      </c>
      <c r="AI147" s="404" t="str">
        <f t="shared" si="91"/>
        <v/>
      </c>
      <c r="AJ147" s="403" t="str">
        <f t="shared" si="92"/>
        <v/>
      </c>
      <c r="AK147" s="407" t="str">
        <f t="shared" si="93"/>
        <v/>
      </c>
      <c r="AL147" s="408" t="str">
        <f t="shared" si="94"/>
        <v/>
      </c>
      <c r="AM147" s="404" t="str">
        <f t="shared" si="95"/>
        <v/>
      </c>
      <c r="AN147" s="38"/>
    </row>
    <row r="148" spans="1:40" ht="12.75" x14ac:dyDescent="0.2">
      <c r="A148" s="26"/>
      <c r="B148" s="38"/>
      <c r="C148" s="296" t="s">
        <v>637</v>
      </c>
      <c r="D148" s="296" t="str">
        <f>IF('WK2 - Notional General Income'!C126="","",'WK2 - Notional General Income'!C126)</f>
        <v/>
      </c>
      <c r="E148" s="406" t="str">
        <f>IF('WK2 - Notional General Income'!L126="","",'WK2 - Notional General Income'!L126/'WK2 - Notional General Income'!D126)</f>
        <v/>
      </c>
      <c r="F148" s="406" t="str">
        <f>IF('WK3 - Notional GI 15-16 YIELD'!L124="","",'WK3 - Notional GI 15-16 YIELD'!L124/'WK3 - Notional GI 15-16 YIELD'!D124)</f>
        <v/>
      </c>
      <c r="G148" s="577"/>
      <c r="H148" s="577"/>
      <c r="I148" s="577"/>
      <c r="J148" s="577"/>
      <c r="K148" s="577"/>
      <c r="L148" s="577"/>
      <c r="M148" s="38"/>
      <c r="N148" s="403" t="str">
        <f t="shared" si="70"/>
        <v/>
      </c>
      <c r="O148" s="404" t="str">
        <f t="shared" si="71"/>
        <v/>
      </c>
      <c r="P148" s="403" t="str">
        <f t="shared" si="72"/>
        <v/>
      </c>
      <c r="Q148" s="405" t="str">
        <f t="shared" si="73"/>
        <v/>
      </c>
      <c r="R148" s="406" t="str">
        <f t="shared" si="74"/>
        <v/>
      </c>
      <c r="S148" s="404" t="str">
        <f t="shared" si="75"/>
        <v/>
      </c>
      <c r="T148" s="403" t="str">
        <f t="shared" si="76"/>
        <v/>
      </c>
      <c r="U148" s="405" t="str">
        <f t="shared" si="77"/>
        <v/>
      </c>
      <c r="V148" s="406" t="str">
        <f t="shared" si="78"/>
        <v/>
      </c>
      <c r="W148" s="404" t="str">
        <f t="shared" si="79"/>
        <v/>
      </c>
      <c r="X148" s="403" t="str">
        <f t="shared" si="80"/>
        <v/>
      </c>
      <c r="Y148" s="405" t="str">
        <f t="shared" si="81"/>
        <v/>
      </c>
      <c r="Z148" s="406" t="str">
        <f t="shared" si="82"/>
        <v/>
      </c>
      <c r="AA148" s="404" t="str">
        <f t="shared" si="83"/>
        <v/>
      </c>
      <c r="AB148" s="403" t="str">
        <f t="shared" si="84"/>
        <v/>
      </c>
      <c r="AC148" s="405" t="str">
        <f t="shared" si="85"/>
        <v/>
      </c>
      <c r="AD148" s="406" t="str">
        <f t="shared" si="86"/>
        <v/>
      </c>
      <c r="AE148" s="404" t="str">
        <f t="shared" si="87"/>
        <v/>
      </c>
      <c r="AF148" s="403" t="str">
        <f t="shared" si="88"/>
        <v/>
      </c>
      <c r="AG148" s="405" t="str">
        <f t="shared" si="89"/>
        <v/>
      </c>
      <c r="AH148" s="406" t="str">
        <f t="shared" si="90"/>
        <v/>
      </c>
      <c r="AI148" s="404" t="str">
        <f t="shared" si="91"/>
        <v/>
      </c>
      <c r="AJ148" s="403" t="str">
        <f t="shared" si="92"/>
        <v/>
      </c>
      <c r="AK148" s="407" t="str">
        <f t="shared" si="93"/>
        <v/>
      </c>
      <c r="AL148" s="408" t="str">
        <f t="shared" si="94"/>
        <v/>
      </c>
      <c r="AM148" s="404" t="str">
        <f t="shared" si="95"/>
        <v/>
      </c>
      <c r="AN148" s="38"/>
    </row>
    <row r="149" spans="1:40" ht="12.75" x14ac:dyDescent="0.2">
      <c r="A149" s="26"/>
      <c r="B149" s="38"/>
      <c r="C149" s="296" t="s">
        <v>637</v>
      </c>
      <c r="D149" s="296" t="str">
        <f>IF('WK2 - Notional General Income'!C127="","",'WK2 - Notional General Income'!C127)</f>
        <v/>
      </c>
      <c r="E149" s="406" t="str">
        <f>IF('WK2 - Notional General Income'!L127="","",'WK2 - Notional General Income'!L127/'WK2 - Notional General Income'!D127)</f>
        <v/>
      </c>
      <c r="F149" s="406" t="str">
        <f>IF('WK3 - Notional GI 15-16 YIELD'!L125="","",'WK3 - Notional GI 15-16 YIELD'!L125/'WK3 - Notional GI 15-16 YIELD'!D125)</f>
        <v/>
      </c>
      <c r="G149" s="577"/>
      <c r="H149" s="577"/>
      <c r="I149" s="577"/>
      <c r="J149" s="577"/>
      <c r="K149" s="577"/>
      <c r="L149" s="577"/>
      <c r="M149" s="38"/>
      <c r="N149" s="403" t="str">
        <f t="shared" si="70"/>
        <v/>
      </c>
      <c r="O149" s="404" t="str">
        <f t="shared" si="71"/>
        <v/>
      </c>
      <c r="P149" s="403" t="str">
        <f t="shared" si="72"/>
        <v/>
      </c>
      <c r="Q149" s="405" t="str">
        <f t="shared" si="73"/>
        <v/>
      </c>
      <c r="R149" s="406" t="str">
        <f t="shared" si="74"/>
        <v/>
      </c>
      <c r="S149" s="404" t="str">
        <f t="shared" si="75"/>
        <v/>
      </c>
      <c r="T149" s="403" t="str">
        <f t="shared" si="76"/>
        <v/>
      </c>
      <c r="U149" s="405" t="str">
        <f t="shared" si="77"/>
        <v/>
      </c>
      <c r="V149" s="406" t="str">
        <f t="shared" si="78"/>
        <v/>
      </c>
      <c r="W149" s="404" t="str">
        <f t="shared" si="79"/>
        <v/>
      </c>
      <c r="X149" s="403" t="str">
        <f t="shared" si="80"/>
        <v/>
      </c>
      <c r="Y149" s="405" t="str">
        <f t="shared" si="81"/>
        <v/>
      </c>
      <c r="Z149" s="406" t="str">
        <f t="shared" si="82"/>
        <v/>
      </c>
      <c r="AA149" s="404" t="str">
        <f t="shared" si="83"/>
        <v/>
      </c>
      <c r="AB149" s="403" t="str">
        <f t="shared" si="84"/>
        <v/>
      </c>
      <c r="AC149" s="405" t="str">
        <f t="shared" si="85"/>
        <v/>
      </c>
      <c r="AD149" s="406" t="str">
        <f t="shared" si="86"/>
        <v/>
      </c>
      <c r="AE149" s="404" t="str">
        <f t="shared" si="87"/>
        <v/>
      </c>
      <c r="AF149" s="403" t="str">
        <f t="shared" si="88"/>
        <v/>
      </c>
      <c r="AG149" s="405" t="str">
        <f t="shared" si="89"/>
        <v/>
      </c>
      <c r="AH149" s="406" t="str">
        <f t="shared" si="90"/>
        <v/>
      </c>
      <c r="AI149" s="404" t="str">
        <f t="shared" si="91"/>
        <v/>
      </c>
      <c r="AJ149" s="403" t="str">
        <f t="shared" si="92"/>
        <v/>
      </c>
      <c r="AK149" s="407" t="str">
        <f t="shared" si="93"/>
        <v/>
      </c>
      <c r="AL149" s="408" t="str">
        <f t="shared" si="94"/>
        <v/>
      </c>
      <c r="AM149" s="404" t="str">
        <f t="shared" si="95"/>
        <v/>
      </c>
      <c r="AN149" s="38"/>
    </row>
    <row r="150" spans="1:40" ht="12.75" x14ac:dyDescent="0.2">
      <c r="A150" s="26"/>
      <c r="B150" s="38"/>
      <c r="C150" s="296" t="s">
        <v>637</v>
      </c>
      <c r="D150" s="296" t="str">
        <f>IF('WK2 - Notional General Income'!C128="","",'WK2 - Notional General Income'!C128)</f>
        <v/>
      </c>
      <c r="E150" s="406" t="str">
        <f>IF('WK2 - Notional General Income'!L128="","",'WK2 - Notional General Income'!L128/'WK2 - Notional General Income'!D128)</f>
        <v/>
      </c>
      <c r="F150" s="406" t="str">
        <f>IF('WK3 - Notional GI 15-16 YIELD'!L126="","",'WK3 - Notional GI 15-16 YIELD'!L126/'WK3 - Notional GI 15-16 YIELD'!D126)</f>
        <v/>
      </c>
      <c r="G150" s="577"/>
      <c r="H150" s="577"/>
      <c r="I150" s="577"/>
      <c r="J150" s="577"/>
      <c r="K150" s="577"/>
      <c r="L150" s="577"/>
      <c r="M150" s="38"/>
      <c r="N150" s="403" t="str">
        <f t="shared" si="70"/>
        <v/>
      </c>
      <c r="O150" s="404" t="str">
        <f t="shared" si="71"/>
        <v/>
      </c>
      <c r="P150" s="403" t="str">
        <f t="shared" si="72"/>
        <v/>
      </c>
      <c r="Q150" s="405" t="str">
        <f t="shared" si="73"/>
        <v/>
      </c>
      <c r="R150" s="406" t="str">
        <f t="shared" si="74"/>
        <v/>
      </c>
      <c r="S150" s="404" t="str">
        <f t="shared" si="75"/>
        <v/>
      </c>
      <c r="T150" s="403" t="str">
        <f t="shared" si="76"/>
        <v/>
      </c>
      <c r="U150" s="405" t="str">
        <f t="shared" si="77"/>
        <v/>
      </c>
      <c r="V150" s="406" t="str">
        <f t="shared" si="78"/>
        <v/>
      </c>
      <c r="W150" s="404" t="str">
        <f t="shared" si="79"/>
        <v/>
      </c>
      <c r="X150" s="403" t="str">
        <f t="shared" si="80"/>
        <v/>
      </c>
      <c r="Y150" s="405" t="str">
        <f t="shared" si="81"/>
        <v/>
      </c>
      <c r="Z150" s="406" t="str">
        <f t="shared" si="82"/>
        <v/>
      </c>
      <c r="AA150" s="404" t="str">
        <f t="shared" si="83"/>
        <v/>
      </c>
      <c r="AB150" s="403" t="str">
        <f t="shared" si="84"/>
        <v/>
      </c>
      <c r="AC150" s="405" t="str">
        <f t="shared" si="85"/>
        <v/>
      </c>
      <c r="AD150" s="406" t="str">
        <f t="shared" si="86"/>
        <v/>
      </c>
      <c r="AE150" s="404" t="str">
        <f t="shared" si="87"/>
        <v/>
      </c>
      <c r="AF150" s="403" t="str">
        <f t="shared" si="88"/>
        <v/>
      </c>
      <c r="AG150" s="405" t="str">
        <f t="shared" si="89"/>
        <v/>
      </c>
      <c r="AH150" s="406" t="str">
        <f t="shared" si="90"/>
        <v/>
      </c>
      <c r="AI150" s="404" t="str">
        <f t="shared" si="91"/>
        <v/>
      </c>
      <c r="AJ150" s="403" t="str">
        <f t="shared" si="92"/>
        <v/>
      </c>
      <c r="AK150" s="407" t="str">
        <f t="shared" si="93"/>
        <v/>
      </c>
      <c r="AL150" s="408" t="str">
        <f t="shared" si="94"/>
        <v/>
      </c>
      <c r="AM150" s="404" t="str">
        <f t="shared" si="95"/>
        <v/>
      </c>
      <c r="AN150" s="38"/>
    </row>
    <row r="151" spans="1:40" ht="12.75" x14ac:dyDescent="0.2">
      <c r="A151" s="26"/>
      <c r="B151" s="38"/>
      <c r="C151" s="296" t="s">
        <v>637</v>
      </c>
      <c r="D151" s="296" t="str">
        <f>IF('WK2 - Notional General Income'!C129="","",'WK2 - Notional General Income'!C129)</f>
        <v/>
      </c>
      <c r="E151" s="406" t="str">
        <f>IF('WK2 - Notional General Income'!L129="","",'WK2 - Notional General Income'!L129/'WK2 - Notional General Income'!D129)</f>
        <v/>
      </c>
      <c r="F151" s="406" t="str">
        <f>IF('WK3 - Notional GI 15-16 YIELD'!L127="","",'WK3 - Notional GI 15-16 YIELD'!L127/'WK3 - Notional GI 15-16 YIELD'!D127)</f>
        <v/>
      </c>
      <c r="G151" s="577"/>
      <c r="H151" s="577"/>
      <c r="I151" s="577"/>
      <c r="J151" s="577"/>
      <c r="K151" s="577"/>
      <c r="L151" s="577"/>
      <c r="M151" s="38"/>
      <c r="N151" s="403" t="str">
        <f t="shared" si="70"/>
        <v/>
      </c>
      <c r="O151" s="404" t="str">
        <f t="shared" si="71"/>
        <v/>
      </c>
      <c r="P151" s="403" t="str">
        <f t="shared" si="72"/>
        <v/>
      </c>
      <c r="Q151" s="405" t="str">
        <f t="shared" si="73"/>
        <v/>
      </c>
      <c r="R151" s="406" t="str">
        <f t="shared" si="74"/>
        <v/>
      </c>
      <c r="S151" s="404" t="str">
        <f t="shared" si="75"/>
        <v/>
      </c>
      <c r="T151" s="403" t="str">
        <f t="shared" si="76"/>
        <v/>
      </c>
      <c r="U151" s="405" t="str">
        <f t="shared" si="77"/>
        <v/>
      </c>
      <c r="V151" s="406" t="str">
        <f t="shared" si="78"/>
        <v/>
      </c>
      <c r="W151" s="404" t="str">
        <f t="shared" si="79"/>
        <v/>
      </c>
      <c r="X151" s="403" t="str">
        <f t="shared" si="80"/>
        <v/>
      </c>
      <c r="Y151" s="405" t="str">
        <f t="shared" si="81"/>
        <v/>
      </c>
      <c r="Z151" s="406" t="str">
        <f t="shared" si="82"/>
        <v/>
      </c>
      <c r="AA151" s="404" t="str">
        <f t="shared" si="83"/>
        <v/>
      </c>
      <c r="AB151" s="403" t="str">
        <f t="shared" si="84"/>
        <v/>
      </c>
      <c r="AC151" s="405" t="str">
        <f t="shared" si="85"/>
        <v/>
      </c>
      <c r="AD151" s="406" t="str">
        <f t="shared" si="86"/>
        <v/>
      </c>
      <c r="AE151" s="404" t="str">
        <f t="shared" si="87"/>
        <v/>
      </c>
      <c r="AF151" s="403" t="str">
        <f t="shared" si="88"/>
        <v/>
      </c>
      <c r="AG151" s="405" t="str">
        <f t="shared" si="89"/>
        <v/>
      </c>
      <c r="AH151" s="406" t="str">
        <f t="shared" si="90"/>
        <v/>
      </c>
      <c r="AI151" s="404" t="str">
        <f t="shared" si="91"/>
        <v/>
      </c>
      <c r="AJ151" s="403" t="str">
        <f t="shared" si="92"/>
        <v/>
      </c>
      <c r="AK151" s="407" t="str">
        <f t="shared" si="93"/>
        <v/>
      </c>
      <c r="AL151" s="408" t="str">
        <f t="shared" si="94"/>
        <v/>
      </c>
      <c r="AM151" s="404" t="str">
        <f t="shared" si="95"/>
        <v/>
      </c>
      <c r="AN151" s="38"/>
    </row>
    <row r="152" spans="1:40" ht="12.75" x14ac:dyDescent="0.2">
      <c r="A152" s="26"/>
      <c r="B152" s="38"/>
      <c r="C152" s="296" t="s">
        <v>637</v>
      </c>
      <c r="D152" s="296" t="str">
        <f>IF('WK2 - Notional General Income'!C130="","",'WK2 - Notional General Income'!C130)</f>
        <v/>
      </c>
      <c r="E152" s="406" t="str">
        <f>IF('WK2 - Notional General Income'!L130="","",'WK2 - Notional General Income'!L130/'WK2 - Notional General Income'!D130)</f>
        <v/>
      </c>
      <c r="F152" s="406" t="str">
        <f>IF('WK3 - Notional GI 15-16 YIELD'!L128="","",'WK3 - Notional GI 15-16 YIELD'!L128/'WK3 - Notional GI 15-16 YIELD'!D128)</f>
        <v/>
      </c>
      <c r="G152" s="577"/>
      <c r="H152" s="577"/>
      <c r="I152" s="577"/>
      <c r="J152" s="577"/>
      <c r="K152" s="577"/>
      <c r="L152" s="577"/>
      <c r="M152" s="38"/>
      <c r="N152" s="403" t="str">
        <f t="shared" si="70"/>
        <v/>
      </c>
      <c r="O152" s="404" t="str">
        <f t="shared" si="71"/>
        <v/>
      </c>
      <c r="P152" s="403" t="str">
        <f t="shared" si="72"/>
        <v/>
      </c>
      <c r="Q152" s="405" t="str">
        <f t="shared" si="73"/>
        <v/>
      </c>
      <c r="R152" s="406" t="str">
        <f t="shared" si="74"/>
        <v/>
      </c>
      <c r="S152" s="404" t="str">
        <f t="shared" si="75"/>
        <v/>
      </c>
      <c r="T152" s="403" t="str">
        <f t="shared" si="76"/>
        <v/>
      </c>
      <c r="U152" s="405" t="str">
        <f t="shared" si="77"/>
        <v/>
      </c>
      <c r="V152" s="406" t="str">
        <f t="shared" si="78"/>
        <v/>
      </c>
      <c r="W152" s="404" t="str">
        <f t="shared" si="79"/>
        <v/>
      </c>
      <c r="X152" s="403" t="str">
        <f t="shared" si="80"/>
        <v/>
      </c>
      <c r="Y152" s="405" t="str">
        <f t="shared" si="81"/>
        <v/>
      </c>
      <c r="Z152" s="406" t="str">
        <f t="shared" si="82"/>
        <v/>
      </c>
      <c r="AA152" s="404" t="str">
        <f t="shared" si="83"/>
        <v/>
      </c>
      <c r="AB152" s="403" t="str">
        <f t="shared" si="84"/>
        <v/>
      </c>
      <c r="AC152" s="405" t="str">
        <f t="shared" si="85"/>
        <v/>
      </c>
      <c r="AD152" s="406" t="str">
        <f t="shared" si="86"/>
        <v/>
      </c>
      <c r="AE152" s="404" t="str">
        <f t="shared" si="87"/>
        <v/>
      </c>
      <c r="AF152" s="403" t="str">
        <f t="shared" si="88"/>
        <v/>
      </c>
      <c r="AG152" s="405" t="str">
        <f t="shared" si="89"/>
        <v/>
      </c>
      <c r="AH152" s="406" t="str">
        <f t="shared" si="90"/>
        <v/>
      </c>
      <c r="AI152" s="404" t="str">
        <f t="shared" si="91"/>
        <v/>
      </c>
      <c r="AJ152" s="403" t="str">
        <f t="shared" si="92"/>
        <v/>
      </c>
      <c r="AK152" s="407" t="str">
        <f t="shared" si="93"/>
        <v/>
      </c>
      <c r="AL152" s="408" t="str">
        <f t="shared" si="94"/>
        <v/>
      </c>
      <c r="AM152" s="404" t="str">
        <f t="shared" si="95"/>
        <v/>
      </c>
      <c r="AN152" s="38"/>
    </row>
    <row r="153" spans="1:40" ht="12.75" x14ac:dyDescent="0.2">
      <c r="A153" s="26"/>
      <c r="B153" s="38"/>
      <c r="C153" s="296" t="s">
        <v>637</v>
      </c>
      <c r="D153" s="296" t="str">
        <f>IF('WK2 - Notional General Income'!C131="","",'WK2 - Notional General Income'!C131)</f>
        <v/>
      </c>
      <c r="E153" s="406" t="str">
        <f>IF('WK2 - Notional General Income'!L131="","",'WK2 - Notional General Income'!L131/'WK2 - Notional General Income'!D131)</f>
        <v/>
      </c>
      <c r="F153" s="406" t="str">
        <f>IF('WK3 - Notional GI 15-16 YIELD'!L129="","",'WK3 - Notional GI 15-16 YIELD'!L129/'WK3 - Notional GI 15-16 YIELD'!D129)</f>
        <v/>
      </c>
      <c r="G153" s="577"/>
      <c r="H153" s="577"/>
      <c r="I153" s="577"/>
      <c r="J153" s="577"/>
      <c r="K153" s="577"/>
      <c r="L153" s="577"/>
      <c r="M153" s="38"/>
      <c r="N153" s="403" t="str">
        <f t="shared" si="70"/>
        <v/>
      </c>
      <c r="O153" s="404" t="str">
        <f t="shared" si="71"/>
        <v/>
      </c>
      <c r="P153" s="403" t="str">
        <f t="shared" si="72"/>
        <v/>
      </c>
      <c r="Q153" s="405" t="str">
        <f t="shared" si="73"/>
        <v/>
      </c>
      <c r="R153" s="406" t="str">
        <f t="shared" si="74"/>
        <v/>
      </c>
      <c r="S153" s="404" t="str">
        <f t="shared" si="75"/>
        <v/>
      </c>
      <c r="T153" s="403" t="str">
        <f t="shared" si="76"/>
        <v/>
      </c>
      <c r="U153" s="405" t="str">
        <f t="shared" si="77"/>
        <v/>
      </c>
      <c r="V153" s="406" t="str">
        <f t="shared" si="78"/>
        <v/>
      </c>
      <c r="W153" s="404" t="str">
        <f t="shared" si="79"/>
        <v/>
      </c>
      <c r="X153" s="403" t="str">
        <f t="shared" si="80"/>
        <v/>
      </c>
      <c r="Y153" s="405" t="str">
        <f t="shared" si="81"/>
        <v/>
      </c>
      <c r="Z153" s="406" t="str">
        <f t="shared" si="82"/>
        <v/>
      </c>
      <c r="AA153" s="404" t="str">
        <f t="shared" si="83"/>
        <v/>
      </c>
      <c r="AB153" s="403" t="str">
        <f t="shared" si="84"/>
        <v/>
      </c>
      <c r="AC153" s="405" t="str">
        <f t="shared" si="85"/>
        <v/>
      </c>
      <c r="AD153" s="406" t="str">
        <f t="shared" si="86"/>
        <v/>
      </c>
      <c r="AE153" s="404" t="str">
        <f t="shared" si="87"/>
        <v/>
      </c>
      <c r="AF153" s="403" t="str">
        <f t="shared" si="88"/>
        <v/>
      </c>
      <c r="AG153" s="405" t="str">
        <f t="shared" si="89"/>
        <v/>
      </c>
      <c r="AH153" s="406" t="str">
        <f t="shared" si="90"/>
        <v/>
      </c>
      <c r="AI153" s="404" t="str">
        <f t="shared" si="91"/>
        <v/>
      </c>
      <c r="AJ153" s="403" t="str">
        <f t="shared" si="92"/>
        <v/>
      </c>
      <c r="AK153" s="407" t="str">
        <f t="shared" si="93"/>
        <v/>
      </c>
      <c r="AL153" s="408" t="str">
        <f t="shared" si="94"/>
        <v/>
      </c>
      <c r="AM153" s="404" t="str">
        <f t="shared" si="95"/>
        <v/>
      </c>
      <c r="AN153" s="38"/>
    </row>
    <row r="154" spans="1:40" ht="12.75" x14ac:dyDescent="0.2">
      <c r="A154" s="26"/>
      <c r="B154" s="38"/>
      <c r="C154" s="296" t="s">
        <v>637</v>
      </c>
      <c r="D154" s="296" t="str">
        <f>IF('WK2 - Notional General Income'!C132="","",'WK2 - Notional General Income'!C132)</f>
        <v/>
      </c>
      <c r="E154" s="406" t="str">
        <f>IF('WK2 - Notional General Income'!L132="","",'WK2 - Notional General Income'!L132/'WK2 - Notional General Income'!D132)</f>
        <v/>
      </c>
      <c r="F154" s="406" t="str">
        <f>IF('WK3 - Notional GI 15-16 YIELD'!L130="","",'WK3 - Notional GI 15-16 YIELD'!L130/'WK3 - Notional GI 15-16 YIELD'!D130)</f>
        <v/>
      </c>
      <c r="G154" s="577"/>
      <c r="H154" s="577"/>
      <c r="I154" s="577"/>
      <c r="J154" s="577"/>
      <c r="K154" s="577"/>
      <c r="L154" s="577"/>
      <c r="M154" s="38"/>
      <c r="N154" s="403" t="str">
        <f t="shared" si="70"/>
        <v/>
      </c>
      <c r="O154" s="404" t="str">
        <f t="shared" si="71"/>
        <v/>
      </c>
      <c r="P154" s="403" t="str">
        <f t="shared" si="72"/>
        <v/>
      </c>
      <c r="Q154" s="405" t="str">
        <f t="shared" si="73"/>
        <v/>
      </c>
      <c r="R154" s="406" t="str">
        <f t="shared" si="74"/>
        <v/>
      </c>
      <c r="S154" s="404" t="str">
        <f t="shared" si="75"/>
        <v/>
      </c>
      <c r="T154" s="403" t="str">
        <f t="shared" si="76"/>
        <v/>
      </c>
      <c r="U154" s="405" t="str">
        <f t="shared" si="77"/>
        <v/>
      </c>
      <c r="V154" s="406" t="str">
        <f t="shared" si="78"/>
        <v/>
      </c>
      <c r="W154" s="404" t="str">
        <f t="shared" si="79"/>
        <v/>
      </c>
      <c r="X154" s="403" t="str">
        <f t="shared" si="80"/>
        <v/>
      </c>
      <c r="Y154" s="405" t="str">
        <f t="shared" si="81"/>
        <v/>
      </c>
      <c r="Z154" s="406" t="str">
        <f t="shared" si="82"/>
        <v/>
      </c>
      <c r="AA154" s="404" t="str">
        <f t="shared" si="83"/>
        <v/>
      </c>
      <c r="AB154" s="403" t="str">
        <f t="shared" si="84"/>
        <v/>
      </c>
      <c r="AC154" s="405" t="str">
        <f t="shared" si="85"/>
        <v/>
      </c>
      <c r="AD154" s="406" t="str">
        <f t="shared" si="86"/>
        <v/>
      </c>
      <c r="AE154" s="404" t="str">
        <f t="shared" si="87"/>
        <v/>
      </c>
      <c r="AF154" s="403" t="str">
        <f t="shared" si="88"/>
        <v/>
      </c>
      <c r="AG154" s="405" t="str">
        <f t="shared" si="89"/>
        <v/>
      </c>
      <c r="AH154" s="406" t="str">
        <f t="shared" si="90"/>
        <v/>
      </c>
      <c r="AI154" s="404" t="str">
        <f t="shared" si="91"/>
        <v/>
      </c>
      <c r="AJ154" s="403" t="str">
        <f t="shared" si="92"/>
        <v/>
      </c>
      <c r="AK154" s="407" t="str">
        <f t="shared" si="93"/>
        <v/>
      </c>
      <c r="AL154" s="408" t="str">
        <f t="shared" si="94"/>
        <v/>
      </c>
      <c r="AM154" s="404" t="str">
        <f t="shared" si="95"/>
        <v/>
      </c>
      <c r="AN154" s="38"/>
    </row>
    <row r="155" spans="1:40" s="165" customFormat="1" ht="12.75" x14ac:dyDescent="0.2">
      <c r="A155" s="539"/>
      <c r="B155" s="540"/>
      <c r="C155" s="579"/>
      <c r="D155" s="579" t="s">
        <v>613</v>
      </c>
      <c r="E155" s="406">
        <f>IF(SUM(E135:E154)=0,"",('WK2 - Notional General Income'!L72+SUM('WK2 - Notional General Income'!L123:L126))/'WK2 - Notional General Income'!D72)</f>
        <v>1916.4251066700924</v>
      </c>
      <c r="F155" s="406">
        <f>IF(SUM(F135:F154)=0,"",('WK3 - Notional GI 15-16 YIELD'!L70+SUM('WK3 - Notional GI 15-16 YIELD'!L121:L130))/'WK3 - Notional GI 15-16 YIELD'!D70)</f>
        <v>1970.5144242002063</v>
      </c>
      <c r="G155" s="406">
        <f>G514/'WK3 - Notional GI 15-16 YIELD'!$D$70</f>
        <v>2029.6298569262124</v>
      </c>
      <c r="H155" s="406">
        <f>H514/'WK3 - Notional GI 15-16 YIELD'!$D$70</f>
        <v>2090.5187526339992</v>
      </c>
      <c r="I155" s="406">
        <f>I514/'WK3 - Notional GI 15-16 YIELD'!$D$70</f>
        <v>2153.2343152130193</v>
      </c>
      <c r="J155" s="406">
        <f>J514/'WK3 - Notional GI 15-16 YIELD'!$D$70</f>
        <v>2217.8313446694101</v>
      </c>
      <c r="K155" s="406">
        <f>K514/'WK3 - Notional GI 15-16 YIELD'!$D$70</f>
        <v>2284.3662850094925</v>
      </c>
      <c r="L155" s="406">
        <f>L514/'WK3 - Notional GI 15-16 YIELD'!$D$70</f>
        <v>2352.8972735597767</v>
      </c>
      <c r="M155" s="540"/>
      <c r="N155" s="403">
        <f t="shared" si="70"/>
        <v>54.089317530113931</v>
      </c>
      <c r="O155" s="404">
        <f t="shared" si="71"/>
        <v>2.8224070610355069E-2</v>
      </c>
      <c r="P155" s="403">
        <f t="shared" si="72"/>
        <v>59.11543272600602</v>
      </c>
      <c r="Q155" s="405">
        <f t="shared" si="73"/>
        <v>2.9999999999999912E-2</v>
      </c>
      <c r="R155" s="406">
        <f t="shared" si="74"/>
        <v>113.20475025611995</v>
      </c>
      <c r="S155" s="404">
        <f t="shared" si="75"/>
        <v>5.9070792728665632E-2</v>
      </c>
      <c r="T155" s="403">
        <f t="shared" si="76"/>
        <v>60.888895707786787</v>
      </c>
      <c r="U155" s="405">
        <f t="shared" si="77"/>
        <v>3.0000000000000204E-2</v>
      </c>
      <c r="V155" s="406">
        <f t="shared" si="78"/>
        <v>174.09364596390674</v>
      </c>
      <c r="W155" s="404">
        <f t="shared" si="79"/>
        <v>9.0842916510525812E-2</v>
      </c>
      <c r="X155" s="403">
        <f t="shared" si="80"/>
        <v>62.715562579020116</v>
      </c>
      <c r="Y155" s="405">
        <f t="shared" si="81"/>
        <v>3.0000000000000068E-2</v>
      </c>
      <c r="Z155" s="406">
        <f t="shared" si="82"/>
        <v>236.80920854292685</v>
      </c>
      <c r="AA155" s="404">
        <f t="shared" si="83"/>
        <v>0.12356820400584166</v>
      </c>
      <c r="AB155" s="403">
        <f t="shared" si="84"/>
        <v>64.597029456390828</v>
      </c>
      <c r="AC155" s="405">
        <f t="shared" si="85"/>
        <v>3.0000000000000117E-2</v>
      </c>
      <c r="AD155" s="406">
        <f t="shared" si="86"/>
        <v>301.40623799931768</v>
      </c>
      <c r="AE155" s="404">
        <f t="shared" si="87"/>
        <v>0.15727525012601704</v>
      </c>
      <c r="AF155" s="403">
        <f t="shared" si="88"/>
        <v>66.534940340082358</v>
      </c>
      <c r="AG155" s="405">
        <f t="shared" si="89"/>
        <v>3.0000000000000023E-2</v>
      </c>
      <c r="AH155" s="406">
        <f t="shared" si="90"/>
        <v>367.94117833940004</v>
      </c>
      <c r="AI155" s="404">
        <f t="shared" si="91"/>
        <v>0.19199350762979758</v>
      </c>
      <c r="AJ155" s="403">
        <f t="shared" si="92"/>
        <v>68.530988550284292</v>
      </c>
      <c r="AK155" s="407">
        <f t="shared" si="93"/>
        <v>2.9999999999999787E-2</v>
      </c>
      <c r="AL155" s="408">
        <f t="shared" si="94"/>
        <v>436.47216688968433</v>
      </c>
      <c r="AM155" s="404">
        <f t="shared" si="95"/>
        <v>0.22775331285869127</v>
      </c>
      <c r="AN155" s="540"/>
    </row>
    <row r="156" spans="1:40" ht="12.75" x14ac:dyDescent="0.2">
      <c r="A156" s="26"/>
      <c r="B156" s="38"/>
      <c r="C156" s="296" t="s">
        <v>305</v>
      </c>
      <c r="D156" s="296" t="str">
        <f>IF('WK2 - Notional General Income'!C73="","",'WK2 - Notional General Income'!C73)</f>
        <v/>
      </c>
      <c r="E156" s="406" t="str">
        <f>IF('WK2 - Notional General Income'!L73="","",'WK2 - Notional General Income'!L73/'WK2 - Notional General Income'!D73)</f>
        <v/>
      </c>
      <c r="F156" s="406" t="str">
        <f>IF('WK3 - Notional GI 15-16 YIELD'!L71="","",'WK3 - Notional GI 15-16 YIELD'!L71/'WK3 - Notional GI 15-16 YIELD'!D71)</f>
        <v/>
      </c>
      <c r="G156" s="577"/>
      <c r="H156" s="577"/>
      <c r="I156" s="577"/>
      <c r="J156" s="577"/>
      <c r="K156" s="577"/>
      <c r="L156" s="577"/>
      <c r="M156" s="38"/>
      <c r="N156" s="403" t="str">
        <f t="shared" si="70"/>
        <v/>
      </c>
      <c r="O156" s="404" t="str">
        <f t="shared" si="71"/>
        <v/>
      </c>
      <c r="P156" s="403" t="str">
        <f t="shared" si="72"/>
        <v/>
      </c>
      <c r="Q156" s="405" t="str">
        <f t="shared" si="73"/>
        <v/>
      </c>
      <c r="R156" s="406" t="str">
        <f t="shared" si="74"/>
        <v/>
      </c>
      <c r="S156" s="404" t="str">
        <f t="shared" si="75"/>
        <v/>
      </c>
      <c r="T156" s="403" t="str">
        <f t="shared" si="76"/>
        <v/>
      </c>
      <c r="U156" s="405" t="str">
        <f t="shared" si="77"/>
        <v/>
      </c>
      <c r="V156" s="406" t="str">
        <f t="shared" si="78"/>
        <v/>
      </c>
      <c r="W156" s="404" t="str">
        <f t="shared" si="79"/>
        <v/>
      </c>
      <c r="X156" s="403" t="str">
        <f t="shared" si="80"/>
        <v/>
      </c>
      <c r="Y156" s="405" t="str">
        <f t="shared" si="81"/>
        <v/>
      </c>
      <c r="Z156" s="406" t="str">
        <f t="shared" si="82"/>
        <v/>
      </c>
      <c r="AA156" s="404" t="str">
        <f t="shared" si="83"/>
        <v/>
      </c>
      <c r="AB156" s="403" t="str">
        <f t="shared" si="84"/>
        <v/>
      </c>
      <c r="AC156" s="405" t="str">
        <f t="shared" si="85"/>
        <v/>
      </c>
      <c r="AD156" s="406" t="str">
        <f t="shared" si="86"/>
        <v/>
      </c>
      <c r="AE156" s="404" t="str">
        <f t="shared" si="87"/>
        <v/>
      </c>
      <c r="AF156" s="403" t="str">
        <f t="shared" si="88"/>
        <v/>
      </c>
      <c r="AG156" s="405" t="str">
        <f t="shared" si="89"/>
        <v/>
      </c>
      <c r="AH156" s="406" t="str">
        <f t="shared" si="90"/>
        <v/>
      </c>
      <c r="AI156" s="404" t="str">
        <f t="shared" si="91"/>
        <v/>
      </c>
      <c r="AJ156" s="403" t="str">
        <f t="shared" si="92"/>
        <v/>
      </c>
      <c r="AK156" s="407" t="str">
        <f t="shared" si="93"/>
        <v/>
      </c>
      <c r="AL156" s="408" t="str">
        <f t="shared" si="94"/>
        <v/>
      </c>
      <c r="AM156" s="404" t="str">
        <f t="shared" si="95"/>
        <v/>
      </c>
      <c r="AN156" s="38"/>
    </row>
    <row r="157" spans="1:40" ht="12.75" x14ac:dyDescent="0.2">
      <c r="A157" s="26"/>
      <c r="B157" s="38"/>
      <c r="C157" s="296" t="s">
        <v>305</v>
      </c>
      <c r="D157" s="296" t="str">
        <f>IF('WK2 - Notional General Income'!C74="","",'WK2 - Notional General Income'!C74)</f>
        <v/>
      </c>
      <c r="E157" s="406" t="str">
        <f>IF('WK2 - Notional General Income'!L74="","",'WK2 - Notional General Income'!L74/'WK2 - Notional General Income'!D74)</f>
        <v/>
      </c>
      <c r="F157" s="406" t="str">
        <f>IF('WK3 - Notional GI 15-16 YIELD'!L72="","",'WK3 - Notional GI 15-16 YIELD'!L72/'WK3 - Notional GI 15-16 YIELD'!D72)</f>
        <v/>
      </c>
      <c r="G157" s="577"/>
      <c r="H157" s="577"/>
      <c r="I157" s="577"/>
      <c r="J157" s="577"/>
      <c r="K157" s="577"/>
      <c r="L157" s="577"/>
      <c r="M157" s="38"/>
      <c r="N157" s="403" t="str">
        <f t="shared" si="70"/>
        <v/>
      </c>
      <c r="O157" s="404" t="str">
        <f t="shared" si="71"/>
        <v/>
      </c>
      <c r="P157" s="403" t="str">
        <f t="shared" si="72"/>
        <v/>
      </c>
      <c r="Q157" s="405" t="str">
        <f t="shared" si="73"/>
        <v/>
      </c>
      <c r="R157" s="406" t="str">
        <f t="shared" si="74"/>
        <v/>
      </c>
      <c r="S157" s="404" t="str">
        <f t="shared" si="75"/>
        <v/>
      </c>
      <c r="T157" s="403" t="str">
        <f t="shared" si="76"/>
        <v/>
      </c>
      <c r="U157" s="405" t="str">
        <f t="shared" si="77"/>
        <v/>
      </c>
      <c r="V157" s="406" t="str">
        <f t="shared" si="78"/>
        <v/>
      </c>
      <c r="W157" s="404" t="str">
        <f t="shared" si="79"/>
        <v/>
      </c>
      <c r="X157" s="403" t="str">
        <f t="shared" si="80"/>
        <v/>
      </c>
      <c r="Y157" s="405" t="str">
        <f t="shared" si="81"/>
        <v/>
      </c>
      <c r="Z157" s="406" t="str">
        <f t="shared" si="82"/>
        <v/>
      </c>
      <c r="AA157" s="404" t="str">
        <f t="shared" si="83"/>
        <v/>
      </c>
      <c r="AB157" s="403" t="str">
        <f t="shared" si="84"/>
        <v/>
      </c>
      <c r="AC157" s="405" t="str">
        <f t="shared" si="85"/>
        <v/>
      </c>
      <c r="AD157" s="406" t="str">
        <f t="shared" si="86"/>
        <v/>
      </c>
      <c r="AE157" s="404" t="str">
        <f t="shared" si="87"/>
        <v/>
      </c>
      <c r="AF157" s="403" t="str">
        <f t="shared" si="88"/>
        <v/>
      </c>
      <c r="AG157" s="405" t="str">
        <f t="shared" si="89"/>
        <v/>
      </c>
      <c r="AH157" s="406" t="str">
        <f t="shared" si="90"/>
        <v/>
      </c>
      <c r="AI157" s="404" t="str">
        <f t="shared" si="91"/>
        <v/>
      </c>
      <c r="AJ157" s="403" t="str">
        <f t="shared" si="92"/>
        <v/>
      </c>
      <c r="AK157" s="407" t="str">
        <f t="shared" si="93"/>
        <v/>
      </c>
      <c r="AL157" s="408" t="str">
        <f t="shared" si="94"/>
        <v/>
      </c>
      <c r="AM157" s="404" t="str">
        <f t="shared" si="95"/>
        <v/>
      </c>
      <c r="AN157" s="38"/>
    </row>
    <row r="158" spans="1:40" ht="12.75" x14ac:dyDescent="0.2">
      <c r="A158" s="26"/>
      <c r="B158" s="38"/>
      <c r="C158" s="296" t="s">
        <v>305</v>
      </c>
      <c r="D158" s="296" t="str">
        <f>IF('WK2 - Notional General Income'!C75="","",'WK2 - Notional General Income'!C75)</f>
        <v/>
      </c>
      <c r="E158" s="406" t="str">
        <f>IF('WK2 - Notional General Income'!L75="","",'WK2 - Notional General Income'!L75/'WK2 - Notional General Income'!D75)</f>
        <v/>
      </c>
      <c r="F158" s="406" t="str">
        <f>IF('WK3 - Notional GI 15-16 YIELD'!L73="","",'WK3 - Notional GI 15-16 YIELD'!L73/'WK3 - Notional GI 15-16 YIELD'!D73)</f>
        <v/>
      </c>
      <c r="G158" s="577"/>
      <c r="H158" s="577"/>
      <c r="I158" s="577"/>
      <c r="J158" s="577"/>
      <c r="K158" s="577"/>
      <c r="L158" s="577"/>
      <c r="M158" s="38"/>
      <c r="N158" s="403" t="str">
        <f t="shared" si="70"/>
        <v/>
      </c>
      <c r="O158" s="404" t="str">
        <f t="shared" si="71"/>
        <v/>
      </c>
      <c r="P158" s="403" t="str">
        <f t="shared" si="72"/>
        <v/>
      </c>
      <c r="Q158" s="405" t="str">
        <f t="shared" si="73"/>
        <v/>
      </c>
      <c r="R158" s="406" t="str">
        <f t="shared" si="74"/>
        <v/>
      </c>
      <c r="S158" s="404" t="str">
        <f t="shared" si="75"/>
        <v/>
      </c>
      <c r="T158" s="403" t="str">
        <f t="shared" si="76"/>
        <v/>
      </c>
      <c r="U158" s="405" t="str">
        <f t="shared" si="77"/>
        <v/>
      </c>
      <c r="V158" s="406" t="str">
        <f t="shared" si="78"/>
        <v/>
      </c>
      <c r="W158" s="404" t="str">
        <f t="shared" si="79"/>
        <v/>
      </c>
      <c r="X158" s="403" t="str">
        <f t="shared" si="80"/>
        <v/>
      </c>
      <c r="Y158" s="405" t="str">
        <f t="shared" si="81"/>
        <v/>
      </c>
      <c r="Z158" s="406" t="str">
        <f t="shared" si="82"/>
        <v/>
      </c>
      <c r="AA158" s="404" t="str">
        <f t="shared" si="83"/>
        <v/>
      </c>
      <c r="AB158" s="403" t="str">
        <f t="shared" si="84"/>
        <v/>
      </c>
      <c r="AC158" s="405" t="str">
        <f t="shared" si="85"/>
        <v/>
      </c>
      <c r="AD158" s="406" t="str">
        <f t="shared" si="86"/>
        <v/>
      </c>
      <c r="AE158" s="404" t="str">
        <f t="shared" si="87"/>
        <v/>
      </c>
      <c r="AF158" s="403" t="str">
        <f t="shared" si="88"/>
        <v/>
      </c>
      <c r="AG158" s="405" t="str">
        <f t="shared" si="89"/>
        <v/>
      </c>
      <c r="AH158" s="406" t="str">
        <f t="shared" si="90"/>
        <v/>
      </c>
      <c r="AI158" s="404" t="str">
        <f t="shared" si="91"/>
        <v/>
      </c>
      <c r="AJ158" s="403" t="str">
        <f t="shared" si="92"/>
        <v/>
      </c>
      <c r="AK158" s="407" t="str">
        <f t="shared" si="93"/>
        <v/>
      </c>
      <c r="AL158" s="408" t="str">
        <f t="shared" si="94"/>
        <v/>
      </c>
      <c r="AM158" s="404" t="str">
        <f t="shared" si="95"/>
        <v/>
      </c>
      <c r="AN158" s="38"/>
    </row>
    <row r="159" spans="1:40" ht="12.75" x14ac:dyDescent="0.2">
      <c r="A159" s="26"/>
      <c r="B159" s="38"/>
      <c r="C159" s="296" t="s">
        <v>305</v>
      </c>
      <c r="D159" s="296" t="str">
        <f>IF('WK2 - Notional General Income'!C76="","",'WK2 - Notional General Income'!C76)</f>
        <v/>
      </c>
      <c r="E159" s="406" t="str">
        <f>IF('WK2 - Notional General Income'!L76="","",'WK2 - Notional General Income'!L76/'WK2 - Notional General Income'!D76)</f>
        <v/>
      </c>
      <c r="F159" s="406" t="str">
        <f>IF('WK3 - Notional GI 15-16 YIELD'!L74="","",'WK3 - Notional GI 15-16 YIELD'!L74/'WK3 - Notional GI 15-16 YIELD'!D74)</f>
        <v/>
      </c>
      <c r="G159" s="577"/>
      <c r="H159" s="577"/>
      <c r="I159" s="577"/>
      <c r="J159" s="577"/>
      <c r="K159" s="577"/>
      <c r="L159" s="577"/>
      <c r="M159" s="38"/>
      <c r="N159" s="403" t="str">
        <f t="shared" si="70"/>
        <v/>
      </c>
      <c r="O159" s="404" t="str">
        <f t="shared" si="71"/>
        <v/>
      </c>
      <c r="P159" s="403" t="str">
        <f t="shared" si="72"/>
        <v/>
      </c>
      <c r="Q159" s="405" t="str">
        <f t="shared" si="73"/>
        <v/>
      </c>
      <c r="R159" s="406" t="str">
        <f t="shared" si="74"/>
        <v/>
      </c>
      <c r="S159" s="404" t="str">
        <f t="shared" si="75"/>
        <v/>
      </c>
      <c r="T159" s="403" t="str">
        <f t="shared" si="76"/>
        <v/>
      </c>
      <c r="U159" s="405" t="str">
        <f t="shared" si="77"/>
        <v/>
      </c>
      <c r="V159" s="406" t="str">
        <f t="shared" si="78"/>
        <v/>
      </c>
      <c r="W159" s="404" t="str">
        <f t="shared" si="79"/>
        <v/>
      </c>
      <c r="X159" s="403" t="str">
        <f t="shared" si="80"/>
        <v/>
      </c>
      <c r="Y159" s="405" t="str">
        <f t="shared" si="81"/>
        <v/>
      </c>
      <c r="Z159" s="406" t="str">
        <f t="shared" si="82"/>
        <v/>
      </c>
      <c r="AA159" s="404" t="str">
        <f t="shared" si="83"/>
        <v/>
      </c>
      <c r="AB159" s="403" t="str">
        <f t="shared" si="84"/>
        <v/>
      </c>
      <c r="AC159" s="405" t="str">
        <f t="shared" si="85"/>
        <v/>
      </c>
      <c r="AD159" s="406" t="str">
        <f t="shared" si="86"/>
        <v/>
      </c>
      <c r="AE159" s="404" t="str">
        <f t="shared" si="87"/>
        <v/>
      </c>
      <c r="AF159" s="403" t="str">
        <f t="shared" si="88"/>
        <v/>
      </c>
      <c r="AG159" s="405" t="str">
        <f t="shared" si="89"/>
        <v/>
      </c>
      <c r="AH159" s="406" t="str">
        <f t="shared" si="90"/>
        <v/>
      </c>
      <c r="AI159" s="404" t="str">
        <f t="shared" si="91"/>
        <v/>
      </c>
      <c r="AJ159" s="403" t="str">
        <f t="shared" si="92"/>
        <v/>
      </c>
      <c r="AK159" s="407" t="str">
        <f t="shared" si="93"/>
        <v/>
      </c>
      <c r="AL159" s="408" t="str">
        <f t="shared" si="94"/>
        <v/>
      </c>
      <c r="AM159" s="404" t="str">
        <f t="shared" si="95"/>
        <v/>
      </c>
      <c r="AN159" s="38"/>
    </row>
    <row r="160" spans="1:40" ht="12.75" x14ac:dyDescent="0.2">
      <c r="A160" s="26"/>
      <c r="B160" s="38"/>
      <c r="C160" s="296" t="s">
        <v>305</v>
      </c>
      <c r="D160" s="296" t="str">
        <f>IF('WK2 - Notional General Income'!C77="","",'WK2 - Notional General Income'!C77)</f>
        <v/>
      </c>
      <c r="E160" s="406" t="str">
        <f>IF('WK2 - Notional General Income'!L77="","",'WK2 - Notional General Income'!L77/'WK2 - Notional General Income'!D77)</f>
        <v/>
      </c>
      <c r="F160" s="406" t="str">
        <f>IF('WK3 - Notional GI 15-16 YIELD'!L75="","",'WK3 - Notional GI 15-16 YIELD'!L75/'WK3 - Notional GI 15-16 YIELD'!D75)</f>
        <v/>
      </c>
      <c r="G160" s="577"/>
      <c r="H160" s="577"/>
      <c r="I160" s="577"/>
      <c r="J160" s="577"/>
      <c r="K160" s="577"/>
      <c r="L160" s="577"/>
      <c r="M160" s="38"/>
      <c r="N160" s="403" t="str">
        <f t="shared" si="70"/>
        <v/>
      </c>
      <c r="O160" s="404" t="str">
        <f t="shared" si="71"/>
        <v/>
      </c>
      <c r="P160" s="403" t="str">
        <f t="shared" si="72"/>
        <v/>
      </c>
      <c r="Q160" s="405" t="str">
        <f t="shared" si="73"/>
        <v/>
      </c>
      <c r="R160" s="406" t="str">
        <f t="shared" si="74"/>
        <v/>
      </c>
      <c r="S160" s="404" t="str">
        <f t="shared" si="75"/>
        <v/>
      </c>
      <c r="T160" s="403" t="str">
        <f t="shared" si="76"/>
        <v/>
      </c>
      <c r="U160" s="405" t="str">
        <f t="shared" si="77"/>
        <v/>
      </c>
      <c r="V160" s="406" t="str">
        <f t="shared" si="78"/>
        <v/>
      </c>
      <c r="W160" s="404" t="str">
        <f t="shared" si="79"/>
        <v/>
      </c>
      <c r="X160" s="403" t="str">
        <f t="shared" si="80"/>
        <v/>
      </c>
      <c r="Y160" s="405" t="str">
        <f t="shared" si="81"/>
        <v/>
      </c>
      <c r="Z160" s="406" t="str">
        <f t="shared" si="82"/>
        <v/>
      </c>
      <c r="AA160" s="404" t="str">
        <f t="shared" si="83"/>
        <v/>
      </c>
      <c r="AB160" s="403" t="str">
        <f t="shared" si="84"/>
        <v/>
      </c>
      <c r="AC160" s="405" t="str">
        <f t="shared" si="85"/>
        <v/>
      </c>
      <c r="AD160" s="406" t="str">
        <f t="shared" si="86"/>
        <v/>
      </c>
      <c r="AE160" s="404" t="str">
        <f t="shared" si="87"/>
        <v/>
      </c>
      <c r="AF160" s="403" t="str">
        <f t="shared" si="88"/>
        <v/>
      </c>
      <c r="AG160" s="405" t="str">
        <f t="shared" si="89"/>
        <v/>
      </c>
      <c r="AH160" s="406" t="str">
        <f t="shared" si="90"/>
        <v/>
      </c>
      <c r="AI160" s="404" t="str">
        <f t="shared" si="91"/>
        <v/>
      </c>
      <c r="AJ160" s="403" t="str">
        <f t="shared" si="92"/>
        <v/>
      </c>
      <c r="AK160" s="407" t="str">
        <f t="shared" si="93"/>
        <v/>
      </c>
      <c r="AL160" s="408" t="str">
        <f t="shared" si="94"/>
        <v/>
      </c>
      <c r="AM160" s="404" t="str">
        <f t="shared" si="95"/>
        <v/>
      </c>
      <c r="AN160" s="38"/>
    </row>
    <row r="161" spans="1:40" ht="12.75" x14ac:dyDescent="0.2">
      <c r="A161" s="26"/>
      <c r="B161" s="38"/>
      <c r="C161" s="296" t="s">
        <v>305</v>
      </c>
      <c r="D161" s="296" t="str">
        <f>IF('WK2 - Notional General Income'!C78="","",'WK2 - Notional General Income'!C78)</f>
        <v/>
      </c>
      <c r="E161" s="406" t="str">
        <f>IF('WK2 - Notional General Income'!L78="","",'WK2 - Notional General Income'!L78/'WK2 - Notional General Income'!D78)</f>
        <v/>
      </c>
      <c r="F161" s="406" t="str">
        <f>IF('WK3 - Notional GI 15-16 YIELD'!L76="","",'WK3 - Notional GI 15-16 YIELD'!L76/'WK3 - Notional GI 15-16 YIELD'!D76)</f>
        <v/>
      </c>
      <c r="G161" s="577"/>
      <c r="H161" s="577"/>
      <c r="I161" s="577"/>
      <c r="J161" s="577"/>
      <c r="K161" s="577"/>
      <c r="L161" s="577"/>
      <c r="M161" s="38"/>
      <c r="N161" s="403" t="str">
        <f t="shared" si="70"/>
        <v/>
      </c>
      <c r="O161" s="404" t="str">
        <f t="shared" si="71"/>
        <v/>
      </c>
      <c r="P161" s="403" t="str">
        <f t="shared" si="72"/>
        <v/>
      </c>
      <c r="Q161" s="405" t="str">
        <f t="shared" si="73"/>
        <v/>
      </c>
      <c r="R161" s="406" t="str">
        <f t="shared" si="74"/>
        <v/>
      </c>
      <c r="S161" s="404" t="str">
        <f t="shared" si="75"/>
        <v/>
      </c>
      <c r="T161" s="403" t="str">
        <f t="shared" si="76"/>
        <v/>
      </c>
      <c r="U161" s="405" t="str">
        <f t="shared" si="77"/>
        <v/>
      </c>
      <c r="V161" s="406" t="str">
        <f t="shared" si="78"/>
        <v/>
      </c>
      <c r="W161" s="404" t="str">
        <f t="shared" si="79"/>
        <v/>
      </c>
      <c r="X161" s="403" t="str">
        <f t="shared" si="80"/>
        <v/>
      </c>
      <c r="Y161" s="405" t="str">
        <f t="shared" si="81"/>
        <v/>
      </c>
      <c r="Z161" s="406" t="str">
        <f t="shared" si="82"/>
        <v/>
      </c>
      <c r="AA161" s="404" t="str">
        <f t="shared" si="83"/>
        <v/>
      </c>
      <c r="AB161" s="403" t="str">
        <f t="shared" si="84"/>
        <v/>
      </c>
      <c r="AC161" s="405" t="str">
        <f t="shared" si="85"/>
        <v/>
      </c>
      <c r="AD161" s="406" t="str">
        <f t="shared" si="86"/>
        <v/>
      </c>
      <c r="AE161" s="404" t="str">
        <f t="shared" si="87"/>
        <v/>
      </c>
      <c r="AF161" s="403" t="str">
        <f t="shared" si="88"/>
        <v/>
      </c>
      <c r="AG161" s="405" t="str">
        <f t="shared" si="89"/>
        <v/>
      </c>
      <c r="AH161" s="406" t="str">
        <f t="shared" si="90"/>
        <v/>
      </c>
      <c r="AI161" s="404" t="str">
        <f t="shared" si="91"/>
        <v/>
      </c>
      <c r="AJ161" s="403" t="str">
        <f t="shared" si="92"/>
        <v/>
      </c>
      <c r="AK161" s="407" t="str">
        <f t="shared" si="93"/>
        <v/>
      </c>
      <c r="AL161" s="408" t="str">
        <f t="shared" si="94"/>
        <v/>
      </c>
      <c r="AM161" s="404" t="str">
        <f t="shared" si="95"/>
        <v/>
      </c>
      <c r="AN161" s="38"/>
    </row>
    <row r="162" spans="1:40" ht="12.75" x14ac:dyDescent="0.2">
      <c r="A162" s="26"/>
      <c r="B162" s="38"/>
      <c r="C162" s="296" t="s">
        <v>305</v>
      </c>
      <c r="D162" s="296" t="str">
        <f>IF('WK2 - Notional General Income'!C79="","",'WK2 - Notional General Income'!C79)</f>
        <v/>
      </c>
      <c r="E162" s="406" t="str">
        <f>IF('WK2 - Notional General Income'!L79="","",'WK2 - Notional General Income'!L79/'WK2 - Notional General Income'!D79)</f>
        <v/>
      </c>
      <c r="F162" s="406" t="str">
        <f>IF('WK3 - Notional GI 15-16 YIELD'!L77="","",'WK3 - Notional GI 15-16 YIELD'!L77/'WK3 - Notional GI 15-16 YIELD'!D77)</f>
        <v/>
      </c>
      <c r="G162" s="577"/>
      <c r="H162" s="577"/>
      <c r="I162" s="577"/>
      <c r="J162" s="577"/>
      <c r="K162" s="577"/>
      <c r="L162" s="577"/>
      <c r="M162" s="38"/>
      <c r="N162" s="403" t="str">
        <f t="shared" si="70"/>
        <v/>
      </c>
      <c r="O162" s="404" t="str">
        <f t="shared" si="71"/>
        <v/>
      </c>
      <c r="P162" s="403" t="str">
        <f t="shared" si="72"/>
        <v/>
      </c>
      <c r="Q162" s="405" t="str">
        <f t="shared" si="73"/>
        <v/>
      </c>
      <c r="R162" s="406" t="str">
        <f t="shared" si="74"/>
        <v/>
      </c>
      <c r="S162" s="404" t="str">
        <f t="shared" si="75"/>
        <v/>
      </c>
      <c r="T162" s="403" t="str">
        <f t="shared" si="76"/>
        <v/>
      </c>
      <c r="U162" s="405" t="str">
        <f t="shared" si="77"/>
        <v/>
      </c>
      <c r="V162" s="406" t="str">
        <f t="shared" si="78"/>
        <v/>
      </c>
      <c r="W162" s="404" t="str">
        <f t="shared" si="79"/>
        <v/>
      </c>
      <c r="X162" s="403" t="str">
        <f t="shared" si="80"/>
        <v/>
      </c>
      <c r="Y162" s="405" t="str">
        <f t="shared" si="81"/>
        <v/>
      </c>
      <c r="Z162" s="406" t="str">
        <f t="shared" si="82"/>
        <v/>
      </c>
      <c r="AA162" s="404" t="str">
        <f t="shared" si="83"/>
        <v/>
      </c>
      <c r="AB162" s="403" t="str">
        <f t="shared" si="84"/>
        <v/>
      </c>
      <c r="AC162" s="405" t="str">
        <f t="shared" si="85"/>
        <v/>
      </c>
      <c r="AD162" s="406" t="str">
        <f t="shared" si="86"/>
        <v/>
      </c>
      <c r="AE162" s="404" t="str">
        <f t="shared" si="87"/>
        <v/>
      </c>
      <c r="AF162" s="403" t="str">
        <f t="shared" si="88"/>
        <v/>
      </c>
      <c r="AG162" s="405" t="str">
        <f t="shared" si="89"/>
        <v/>
      </c>
      <c r="AH162" s="406" t="str">
        <f t="shared" si="90"/>
        <v/>
      </c>
      <c r="AI162" s="404" t="str">
        <f t="shared" si="91"/>
        <v/>
      </c>
      <c r="AJ162" s="403" t="str">
        <f t="shared" si="92"/>
        <v/>
      </c>
      <c r="AK162" s="407" t="str">
        <f t="shared" si="93"/>
        <v/>
      </c>
      <c r="AL162" s="408" t="str">
        <f t="shared" si="94"/>
        <v/>
      </c>
      <c r="AM162" s="404" t="str">
        <f t="shared" si="95"/>
        <v/>
      </c>
      <c r="AN162" s="38"/>
    </row>
    <row r="163" spans="1:40" ht="12.75" x14ac:dyDescent="0.2">
      <c r="A163" s="26"/>
      <c r="B163" s="38"/>
      <c r="C163" s="296" t="s">
        <v>305</v>
      </c>
      <c r="D163" s="296" t="str">
        <f>IF('WK2 - Notional General Income'!C80="","",'WK2 - Notional General Income'!C80)</f>
        <v/>
      </c>
      <c r="E163" s="406" t="str">
        <f>IF('WK2 - Notional General Income'!L80="","",'WK2 - Notional General Income'!L80/'WK2 - Notional General Income'!D80)</f>
        <v/>
      </c>
      <c r="F163" s="406" t="str">
        <f>IF('WK3 - Notional GI 15-16 YIELD'!L78="","",'WK3 - Notional GI 15-16 YIELD'!L78/'WK3 - Notional GI 15-16 YIELD'!D78)</f>
        <v/>
      </c>
      <c r="G163" s="577"/>
      <c r="H163" s="577"/>
      <c r="I163" s="577"/>
      <c r="J163" s="577"/>
      <c r="K163" s="577"/>
      <c r="L163" s="577"/>
      <c r="M163" s="38"/>
      <c r="N163" s="403" t="str">
        <f t="shared" si="70"/>
        <v/>
      </c>
      <c r="O163" s="404" t="str">
        <f t="shared" si="71"/>
        <v/>
      </c>
      <c r="P163" s="403" t="str">
        <f t="shared" si="72"/>
        <v/>
      </c>
      <c r="Q163" s="405" t="str">
        <f t="shared" si="73"/>
        <v/>
      </c>
      <c r="R163" s="406" t="str">
        <f t="shared" si="74"/>
        <v/>
      </c>
      <c r="S163" s="404" t="str">
        <f t="shared" si="75"/>
        <v/>
      </c>
      <c r="T163" s="403" t="str">
        <f t="shared" si="76"/>
        <v/>
      </c>
      <c r="U163" s="405" t="str">
        <f t="shared" si="77"/>
        <v/>
      </c>
      <c r="V163" s="406" t="str">
        <f t="shared" si="78"/>
        <v/>
      </c>
      <c r="W163" s="404" t="str">
        <f t="shared" si="79"/>
        <v/>
      </c>
      <c r="X163" s="403" t="str">
        <f t="shared" si="80"/>
        <v/>
      </c>
      <c r="Y163" s="405" t="str">
        <f t="shared" si="81"/>
        <v/>
      </c>
      <c r="Z163" s="406" t="str">
        <f t="shared" si="82"/>
        <v/>
      </c>
      <c r="AA163" s="404" t="str">
        <f t="shared" si="83"/>
        <v/>
      </c>
      <c r="AB163" s="403" t="str">
        <f t="shared" si="84"/>
        <v/>
      </c>
      <c r="AC163" s="405" t="str">
        <f t="shared" si="85"/>
        <v/>
      </c>
      <c r="AD163" s="406" t="str">
        <f t="shared" si="86"/>
        <v/>
      </c>
      <c r="AE163" s="404" t="str">
        <f t="shared" si="87"/>
        <v/>
      </c>
      <c r="AF163" s="403" t="str">
        <f t="shared" si="88"/>
        <v/>
      </c>
      <c r="AG163" s="405" t="str">
        <f t="shared" si="89"/>
        <v/>
      </c>
      <c r="AH163" s="406" t="str">
        <f t="shared" si="90"/>
        <v/>
      </c>
      <c r="AI163" s="404" t="str">
        <f t="shared" si="91"/>
        <v/>
      </c>
      <c r="AJ163" s="403" t="str">
        <f t="shared" si="92"/>
        <v/>
      </c>
      <c r="AK163" s="407" t="str">
        <f t="shared" si="93"/>
        <v/>
      </c>
      <c r="AL163" s="408" t="str">
        <f t="shared" si="94"/>
        <v/>
      </c>
      <c r="AM163" s="404" t="str">
        <f t="shared" si="95"/>
        <v/>
      </c>
      <c r="AN163" s="38"/>
    </row>
    <row r="164" spans="1:40" ht="12.75" x14ac:dyDescent="0.2">
      <c r="A164" s="26"/>
      <c r="B164" s="38"/>
      <c r="C164" s="296" t="s">
        <v>305</v>
      </c>
      <c r="D164" s="296" t="str">
        <f>IF('WK2 - Notional General Income'!C81="","",'WK2 - Notional General Income'!C81)</f>
        <v/>
      </c>
      <c r="E164" s="406" t="str">
        <f>IF('WK2 - Notional General Income'!L81="","",'WK2 - Notional General Income'!L81/'WK2 - Notional General Income'!D81)</f>
        <v/>
      </c>
      <c r="F164" s="406" t="str">
        <f>IF('WK3 - Notional GI 15-16 YIELD'!L79="","",'WK3 - Notional GI 15-16 YIELD'!L79/'WK3 - Notional GI 15-16 YIELD'!D79)</f>
        <v/>
      </c>
      <c r="G164" s="577"/>
      <c r="H164" s="577"/>
      <c r="I164" s="577"/>
      <c r="J164" s="577"/>
      <c r="K164" s="577"/>
      <c r="L164" s="577"/>
      <c r="M164" s="38"/>
      <c r="N164" s="403" t="str">
        <f t="shared" si="70"/>
        <v/>
      </c>
      <c r="O164" s="404" t="str">
        <f t="shared" si="71"/>
        <v/>
      </c>
      <c r="P164" s="403" t="str">
        <f t="shared" si="72"/>
        <v/>
      </c>
      <c r="Q164" s="405" t="str">
        <f t="shared" si="73"/>
        <v/>
      </c>
      <c r="R164" s="406" t="str">
        <f t="shared" si="74"/>
        <v/>
      </c>
      <c r="S164" s="404" t="str">
        <f t="shared" si="75"/>
        <v/>
      </c>
      <c r="T164" s="403" t="str">
        <f t="shared" si="76"/>
        <v/>
      </c>
      <c r="U164" s="405" t="str">
        <f t="shared" si="77"/>
        <v/>
      </c>
      <c r="V164" s="406" t="str">
        <f t="shared" si="78"/>
        <v/>
      </c>
      <c r="W164" s="404" t="str">
        <f t="shared" si="79"/>
        <v/>
      </c>
      <c r="X164" s="403" t="str">
        <f t="shared" si="80"/>
        <v/>
      </c>
      <c r="Y164" s="405" t="str">
        <f t="shared" si="81"/>
        <v/>
      </c>
      <c r="Z164" s="406" t="str">
        <f t="shared" si="82"/>
        <v/>
      </c>
      <c r="AA164" s="404" t="str">
        <f t="shared" si="83"/>
        <v/>
      </c>
      <c r="AB164" s="403" t="str">
        <f t="shared" si="84"/>
        <v/>
      </c>
      <c r="AC164" s="405" t="str">
        <f t="shared" si="85"/>
        <v/>
      </c>
      <c r="AD164" s="406" t="str">
        <f t="shared" si="86"/>
        <v/>
      </c>
      <c r="AE164" s="404" t="str">
        <f t="shared" si="87"/>
        <v/>
      </c>
      <c r="AF164" s="403" t="str">
        <f t="shared" si="88"/>
        <v/>
      </c>
      <c r="AG164" s="405" t="str">
        <f t="shared" si="89"/>
        <v/>
      </c>
      <c r="AH164" s="406" t="str">
        <f t="shared" si="90"/>
        <v/>
      </c>
      <c r="AI164" s="404" t="str">
        <f t="shared" si="91"/>
        <v/>
      </c>
      <c r="AJ164" s="403" t="str">
        <f t="shared" si="92"/>
        <v/>
      </c>
      <c r="AK164" s="407" t="str">
        <f t="shared" si="93"/>
        <v/>
      </c>
      <c r="AL164" s="408" t="str">
        <f t="shared" si="94"/>
        <v/>
      </c>
      <c r="AM164" s="404" t="str">
        <f t="shared" si="95"/>
        <v/>
      </c>
      <c r="AN164" s="38"/>
    </row>
    <row r="165" spans="1:40" ht="12.75" x14ac:dyDescent="0.2">
      <c r="A165" s="26"/>
      <c r="B165" s="38"/>
      <c r="C165" s="296" t="s">
        <v>305</v>
      </c>
      <c r="D165" s="296" t="str">
        <f>IF('WK2 - Notional General Income'!C82="","",'WK2 - Notional General Income'!C82)</f>
        <v/>
      </c>
      <c r="E165" s="406" t="str">
        <f>IF('WK2 - Notional General Income'!L82="","",'WK2 - Notional General Income'!L82/'WK2 - Notional General Income'!D82)</f>
        <v/>
      </c>
      <c r="F165" s="406" t="str">
        <f>IF('WK3 - Notional GI 15-16 YIELD'!L80="","",'WK3 - Notional GI 15-16 YIELD'!L80/'WK3 - Notional GI 15-16 YIELD'!D80)</f>
        <v/>
      </c>
      <c r="G165" s="577"/>
      <c r="H165" s="577"/>
      <c r="I165" s="577"/>
      <c r="J165" s="577"/>
      <c r="K165" s="577"/>
      <c r="L165" s="577"/>
      <c r="M165" s="38"/>
      <c r="N165" s="403" t="str">
        <f t="shared" si="70"/>
        <v/>
      </c>
      <c r="O165" s="404" t="str">
        <f t="shared" si="71"/>
        <v/>
      </c>
      <c r="P165" s="403" t="str">
        <f t="shared" si="72"/>
        <v/>
      </c>
      <c r="Q165" s="405" t="str">
        <f t="shared" si="73"/>
        <v/>
      </c>
      <c r="R165" s="406" t="str">
        <f t="shared" si="74"/>
        <v/>
      </c>
      <c r="S165" s="404" t="str">
        <f t="shared" si="75"/>
        <v/>
      </c>
      <c r="T165" s="403" t="str">
        <f t="shared" si="76"/>
        <v/>
      </c>
      <c r="U165" s="405" t="str">
        <f t="shared" si="77"/>
        <v/>
      </c>
      <c r="V165" s="406" t="str">
        <f t="shared" si="78"/>
        <v/>
      </c>
      <c r="W165" s="404" t="str">
        <f t="shared" si="79"/>
        <v/>
      </c>
      <c r="X165" s="403" t="str">
        <f t="shared" si="80"/>
        <v/>
      </c>
      <c r="Y165" s="405" t="str">
        <f t="shared" si="81"/>
        <v/>
      </c>
      <c r="Z165" s="406" t="str">
        <f t="shared" si="82"/>
        <v/>
      </c>
      <c r="AA165" s="404" t="str">
        <f t="shared" si="83"/>
        <v/>
      </c>
      <c r="AB165" s="403" t="str">
        <f t="shared" si="84"/>
        <v/>
      </c>
      <c r="AC165" s="405" t="str">
        <f t="shared" si="85"/>
        <v/>
      </c>
      <c r="AD165" s="406" t="str">
        <f t="shared" si="86"/>
        <v/>
      </c>
      <c r="AE165" s="404" t="str">
        <f t="shared" si="87"/>
        <v/>
      </c>
      <c r="AF165" s="403" t="str">
        <f t="shared" si="88"/>
        <v/>
      </c>
      <c r="AG165" s="405" t="str">
        <f t="shared" si="89"/>
        <v/>
      </c>
      <c r="AH165" s="406" t="str">
        <f t="shared" si="90"/>
        <v/>
      </c>
      <c r="AI165" s="404" t="str">
        <f t="shared" si="91"/>
        <v/>
      </c>
      <c r="AJ165" s="403" t="str">
        <f t="shared" si="92"/>
        <v/>
      </c>
      <c r="AK165" s="407" t="str">
        <f t="shared" si="93"/>
        <v/>
      </c>
      <c r="AL165" s="408" t="str">
        <f t="shared" si="94"/>
        <v/>
      </c>
      <c r="AM165" s="404" t="str">
        <f t="shared" si="95"/>
        <v/>
      </c>
      <c r="AN165" s="38"/>
    </row>
    <row r="166" spans="1:40" ht="12.75" x14ac:dyDescent="0.2">
      <c r="A166" s="26"/>
      <c r="B166" s="38"/>
      <c r="C166" s="296" t="s">
        <v>637</v>
      </c>
      <c r="D166" s="296" t="str">
        <f>IF('WK2 - Notional General Income'!C133="","",'WK2 - Notional General Income'!C133)</f>
        <v/>
      </c>
      <c r="E166" s="406" t="str">
        <f>IF('WK2 - Notional General Income'!L133="","",'WK2 - Notional General Income'!L133/'WK2 - Notional General Income'!D133)</f>
        <v/>
      </c>
      <c r="F166" s="406" t="str">
        <f>IF('WK3 - Notional GI 15-16 YIELD'!L131="","",'WK3 - Notional GI 15-16 YIELD'!L131/'WK3 - Notional GI 15-16 YIELD'!D131)</f>
        <v/>
      </c>
      <c r="G166" s="577"/>
      <c r="H166" s="577"/>
      <c r="I166" s="577"/>
      <c r="J166" s="577"/>
      <c r="K166" s="577"/>
      <c r="L166" s="577"/>
      <c r="M166" s="38"/>
      <c r="N166" s="403" t="str">
        <f t="shared" si="70"/>
        <v/>
      </c>
      <c r="O166" s="404" t="str">
        <f t="shared" si="71"/>
        <v/>
      </c>
      <c r="P166" s="403" t="str">
        <f t="shared" si="72"/>
        <v/>
      </c>
      <c r="Q166" s="405" t="str">
        <f t="shared" si="73"/>
        <v/>
      </c>
      <c r="R166" s="406" t="str">
        <f t="shared" si="74"/>
        <v/>
      </c>
      <c r="S166" s="404" t="str">
        <f t="shared" si="75"/>
        <v/>
      </c>
      <c r="T166" s="403" t="str">
        <f t="shared" si="76"/>
        <v/>
      </c>
      <c r="U166" s="405" t="str">
        <f t="shared" si="77"/>
        <v/>
      </c>
      <c r="V166" s="406" t="str">
        <f t="shared" si="78"/>
        <v/>
      </c>
      <c r="W166" s="404" t="str">
        <f t="shared" si="79"/>
        <v/>
      </c>
      <c r="X166" s="403" t="str">
        <f t="shared" si="80"/>
        <v/>
      </c>
      <c r="Y166" s="405" t="str">
        <f t="shared" si="81"/>
        <v/>
      </c>
      <c r="Z166" s="406" t="str">
        <f t="shared" si="82"/>
        <v/>
      </c>
      <c r="AA166" s="404" t="str">
        <f t="shared" si="83"/>
        <v/>
      </c>
      <c r="AB166" s="403" t="str">
        <f t="shared" si="84"/>
        <v/>
      </c>
      <c r="AC166" s="405" t="str">
        <f t="shared" si="85"/>
        <v/>
      </c>
      <c r="AD166" s="406" t="str">
        <f t="shared" si="86"/>
        <v/>
      </c>
      <c r="AE166" s="404" t="str">
        <f t="shared" si="87"/>
        <v/>
      </c>
      <c r="AF166" s="403" t="str">
        <f t="shared" si="88"/>
        <v/>
      </c>
      <c r="AG166" s="405" t="str">
        <f t="shared" si="89"/>
        <v/>
      </c>
      <c r="AH166" s="406" t="str">
        <f t="shared" si="90"/>
        <v/>
      </c>
      <c r="AI166" s="404" t="str">
        <f t="shared" si="91"/>
        <v/>
      </c>
      <c r="AJ166" s="403" t="str">
        <f t="shared" si="92"/>
        <v/>
      </c>
      <c r="AK166" s="407" t="str">
        <f t="shared" si="93"/>
        <v/>
      </c>
      <c r="AL166" s="408" t="str">
        <f t="shared" si="94"/>
        <v/>
      </c>
      <c r="AM166" s="404" t="str">
        <f t="shared" si="95"/>
        <v/>
      </c>
      <c r="AN166" s="38"/>
    </row>
    <row r="167" spans="1:40" ht="12.75" x14ac:dyDescent="0.2">
      <c r="A167" s="26"/>
      <c r="B167" s="38"/>
      <c r="C167" s="296" t="s">
        <v>637</v>
      </c>
      <c r="D167" s="296" t="str">
        <f>IF('WK2 - Notional General Income'!C134="","",'WK2 - Notional General Income'!C134)</f>
        <v/>
      </c>
      <c r="E167" s="406" t="str">
        <f>IF('WK2 - Notional General Income'!L134="","",'WK2 - Notional General Income'!L134/'WK2 - Notional General Income'!D134)</f>
        <v/>
      </c>
      <c r="F167" s="406" t="str">
        <f>IF('WK3 - Notional GI 15-16 YIELD'!L132="","",'WK3 - Notional GI 15-16 YIELD'!L132/'WK3 - Notional GI 15-16 YIELD'!D132)</f>
        <v/>
      </c>
      <c r="G167" s="577"/>
      <c r="H167" s="577"/>
      <c r="I167" s="577"/>
      <c r="J167" s="577"/>
      <c r="K167" s="577"/>
      <c r="L167" s="577"/>
      <c r="M167" s="38"/>
      <c r="N167" s="403" t="str">
        <f t="shared" si="70"/>
        <v/>
      </c>
      <c r="O167" s="404" t="str">
        <f t="shared" si="71"/>
        <v/>
      </c>
      <c r="P167" s="403" t="str">
        <f t="shared" si="72"/>
        <v/>
      </c>
      <c r="Q167" s="405" t="str">
        <f t="shared" si="73"/>
        <v/>
      </c>
      <c r="R167" s="406" t="str">
        <f t="shared" si="74"/>
        <v/>
      </c>
      <c r="S167" s="404" t="str">
        <f t="shared" si="75"/>
        <v/>
      </c>
      <c r="T167" s="403" t="str">
        <f t="shared" si="76"/>
        <v/>
      </c>
      <c r="U167" s="405" t="str">
        <f t="shared" si="77"/>
        <v/>
      </c>
      <c r="V167" s="406" t="str">
        <f t="shared" si="78"/>
        <v/>
      </c>
      <c r="W167" s="404" t="str">
        <f t="shared" si="79"/>
        <v/>
      </c>
      <c r="X167" s="403" t="str">
        <f t="shared" si="80"/>
        <v/>
      </c>
      <c r="Y167" s="405" t="str">
        <f t="shared" si="81"/>
        <v/>
      </c>
      <c r="Z167" s="406" t="str">
        <f t="shared" si="82"/>
        <v/>
      </c>
      <c r="AA167" s="404" t="str">
        <f t="shared" si="83"/>
        <v/>
      </c>
      <c r="AB167" s="403" t="str">
        <f t="shared" si="84"/>
        <v/>
      </c>
      <c r="AC167" s="405" t="str">
        <f t="shared" si="85"/>
        <v/>
      </c>
      <c r="AD167" s="406" t="str">
        <f t="shared" si="86"/>
        <v/>
      </c>
      <c r="AE167" s="404" t="str">
        <f t="shared" si="87"/>
        <v/>
      </c>
      <c r="AF167" s="403" t="str">
        <f t="shared" si="88"/>
        <v/>
      </c>
      <c r="AG167" s="405" t="str">
        <f t="shared" si="89"/>
        <v/>
      </c>
      <c r="AH167" s="406" t="str">
        <f t="shared" si="90"/>
        <v/>
      </c>
      <c r="AI167" s="404" t="str">
        <f t="shared" si="91"/>
        <v/>
      </c>
      <c r="AJ167" s="403" t="str">
        <f t="shared" si="92"/>
        <v/>
      </c>
      <c r="AK167" s="407" t="str">
        <f t="shared" si="93"/>
        <v/>
      </c>
      <c r="AL167" s="408" t="str">
        <f t="shared" si="94"/>
        <v/>
      </c>
      <c r="AM167" s="404" t="str">
        <f t="shared" si="95"/>
        <v/>
      </c>
      <c r="AN167" s="38"/>
    </row>
    <row r="168" spans="1:40" ht="12.75" x14ac:dyDescent="0.2">
      <c r="A168" s="26"/>
      <c r="B168" s="38"/>
      <c r="C168" s="296" t="s">
        <v>637</v>
      </c>
      <c r="D168" s="296" t="str">
        <f>IF('WK2 - Notional General Income'!C135="","",'WK2 - Notional General Income'!C135)</f>
        <v/>
      </c>
      <c r="E168" s="406" t="str">
        <f>IF('WK2 - Notional General Income'!L135="","",'WK2 - Notional General Income'!L135/'WK2 - Notional General Income'!D135)</f>
        <v/>
      </c>
      <c r="F168" s="406" t="str">
        <f>IF('WK3 - Notional GI 15-16 YIELD'!L133="","",'WK3 - Notional GI 15-16 YIELD'!L133/'WK3 - Notional GI 15-16 YIELD'!D133)</f>
        <v/>
      </c>
      <c r="G168" s="577"/>
      <c r="H168" s="577"/>
      <c r="I168" s="577"/>
      <c r="J168" s="577"/>
      <c r="K168" s="577"/>
      <c r="L168" s="577"/>
      <c r="M168" s="38"/>
      <c r="N168" s="403" t="str">
        <f t="shared" si="70"/>
        <v/>
      </c>
      <c r="O168" s="404" t="str">
        <f t="shared" si="71"/>
        <v/>
      </c>
      <c r="P168" s="403" t="str">
        <f t="shared" si="72"/>
        <v/>
      </c>
      <c r="Q168" s="405" t="str">
        <f t="shared" si="73"/>
        <v/>
      </c>
      <c r="R168" s="406" t="str">
        <f t="shared" si="74"/>
        <v/>
      </c>
      <c r="S168" s="404" t="str">
        <f t="shared" si="75"/>
        <v/>
      </c>
      <c r="T168" s="403" t="str">
        <f t="shared" si="76"/>
        <v/>
      </c>
      <c r="U168" s="405" t="str">
        <f t="shared" si="77"/>
        <v/>
      </c>
      <c r="V168" s="406" t="str">
        <f t="shared" si="78"/>
        <v/>
      </c>
      <c r="W168" s="404" t="str">
        <f t="shared" si="79"/>
        <v/>
      </c>
      <c r="X168" s="403" t="str">
        <f t="shared" si="80"/>
        <v/>
      </c>
      <c r="Y168" s="405" t="str">
        <f t="shared" si="81"/>
        <v/>
      </c>
      <c r="Z168" s="406" t="str">
        <f t="shared" si="82"/>
        <v/>
      </c>
      <c r="AA168" s="404" t="str">
        <f t="shared" si="83"/>
        <v/>
      </c>
      <c r="AB168" s="403" t="str">
        <f t="shared" si="84"/>
        <v/>
      </c>
      <c r="AC168" s="405" t="str">
        <f t="shared" si="85"/>
        <v/>
      </c>
      <c r="AD168" s="406" t="str">
        <f t="shared" si="86"/>
        <v/>
      </c>
      <c r="AE168" s="404" t="str">
        <f t="shared" si="87"/>
        <v/>
      </c>
      <c r="AF168" s="403" t="str">
        <f t="shared" si="88"/>
        <v/>
      </c>
      <c r="AG168" s="405" t="str">
        <f t="shared" si="89"/>
        <v/>
      </c>
      <c r="AH168" s="406" t="str">
        <f t="shared" si="90"/>
        <v/>
      </c>
      <c r="AI168" s="404" t="str">
        <f t="shared" si="91"/>
        <v/>
      </c>
      <c r="AJ168" s="403" t="str">
        <f t="shared" si="92"/>
        <v/>
      </c>
      <c r="AK168" s="407" t="str">
        <f t="shared" si="93"/>
        <v/>
      </c>
      <c r="AL168" s="408" t="str">
        <f t="shared" si="94"/>
        <v/>
      </c>
      <c r="AM168" s="404" t="str">
        <f t="shared" si="95"/>
        <v/>
      </c>
      <c r="AN168" s="38"/>
    </row>
    <row r="169" spans="1:40" ht="12.75" x14ac:dyDescent="0.2">
      <c r="A169" s="26"/>
      <c r="B169" s="38"/>
      <c r="C169" s="296" t="s">
        <v>637</v>
      </c>
      <c r="D169" s="296" t="str">
        <f>IF('WK2 - Notional General Income'!C136="","",'WK2 - Notional General Income'!C136)</f>
        <v/>
      </c>
      <c r="E169" s="406" t="str">
        <f>IF('WK2 - Notional General Income'!L136="","",'WK2 - Notional General Income'!L136/'WK2 - Notional General Income'!D136)</f>
        <v/>
      </c>
      <c r="F169" s="406" t="str">
        <f>IF('WK3 - Notional GI 15-16 YIELD'!L134="","",'WK3 - Notional GI 15-16 YIELD'!L134/'WK3 - Notional GI 15-16 YIELD'!D134)</f>
        <v/>
      </c>
      <c r="G169" s="577"/>
      <c r="H169" s="577"/>
      <c r="I169" s="577"/>
      <c r="J169" s="577"/>
      <c r="K169" s="577"/>
      <c r="L169" s="577"/>
      <c r="M169" s="38"/>
      <c r="N169" s="403" t="str">
        <f t="shared" si="70"/>
        <v/>
      </c>
      <c r="O169" s="404" t="str">
        <f t="shared" si="71"/>
        <v/>
      </c>
      <c r="P169" s="403" t="str">
        <f t="shared" si="72"/>
        <v/>
      </c>
      <c r="Q169" s="405" t="str">
        <f t="shared" si="73"/>
        <v/>
      </c>
      <c r="R169" s="406" t="str">
        <f t="shared" si="74"/>
        <v/>
      </c>
      <c r="S169" s="404" t="str">
        <f t="shared" si="75"/>
        <v/>
      </c>
      <c r="T169" s="403" t="str">
        <f t="shared" si="76"/>
        <v/>
      </c>
      <c r="U169" s="405" t="str">
        <f t="shared" si="77"/>
        <v/>
      </c>
      <c r="V169" s="406" t="str">
        <f t="shared" si="78"/>
        <v/>
      </c>
      <c r="W169" s="404" t="str">
        <f t="shared" si="79"/>
        <v/>
      </c>
      <c r="X169" s="403" t="str">
        <f t="shared" si="80"/>
        <v/>
      </c>
      <c r="Y169" s="405" t="str">
        <f t="shared" si="81"/>
        <v/>
      </c>
      <c r="Z169" s="406" t="str">
        <f t="shared" si="82"/>
        <v/>
      </c>
      <c r="AA169" s="404" t="str">
        <f t="shared" si="83"/>
        <v/>
      </c>
      <c r="AB169" s="403" t="str">
        <f t="shared" si="84"/>
        <v/>
      </c>
      <c r="AC169" s="405" t="str">
        <f t="shared" si="85"/>
        <v/>
      </c>
      <c r="AD169" s="406" t="str">
        <f t="shared" si="86"/>
        <v/>
      </c>
      <c r="AE169" s="404" t="str">
        <f t="shared" si="87"/>
        <v/>
      </c>
      <c r="AF169" s="403" t="str">
        <f t="shared" si="88"/>
        <v/>
      </c>
      <c r="AG169" s="405" t="str">
        <f t="shared" si="89"/>
        <v/>
      </c>
      <c r="AH169" s="406" t="str">
        <f t="shared" si="90"/>
        <v/>
      </c>
      <c r="AI169" s="404" t="str">
        <f t="shared" si="91"/>
        <v/>
      </c>
      <c r="AJ169" s="403" t="str">
        <f t="shared" si="92"/>
        <v/>
      </c>
      <c r="AK169" s="407" t="str">
        <f t="shared" si="93"/>
        <v/>
      </c>
      <c r="AL169" s="408" t="str">
        <f t="shared" si="94"/>
        <v/>
      </c>
      <c r="AM169" s="404" t="str">
        <f t="shared" si="95"/>
        <v/>
      </c>
      <c r="AN169" s="38"/>
    </row>
    <row r="170" spans="1:40" ht="12.75" x14ac:dyDescent="0.2">
      <c r="A170" s="26"/>
      <c r="B170" s="38"/>
      <c r="C170" s="296" t="s">
        <v>637</v>
      </c>
      <c r="D170" s="296" t="str">
        <f>IF('WK2 - Notional General Income'!C137="","",'WK2 - Notional General Income'!C137)</f>
        <v/>
      </c>
      <c r="E170" s="406" t="str">
        <f>IF('WK2 - Notional General Income'!L137="","",'WK2 - Notional General Income'!L137/'WK2 - Notional General Income'!D137)</f>
        <v/>
      </c>
      <c r="F170" s="406" t="str">
        <f>IF('WK3 - Notional GI 15-16 YIELD'!L135="","",'WK3 - Notional GI 15-16 YIELD'!L135/'WK3 - Notional GI 15-16 YIELD'!D135)</f>
        <v/>
      </c>
      <c r="G170" s="577"/>
      <c r="H170" s="577"/>
      <c r="I170" s="577"/>
      <c r="J170" s="577"/>
      <c r="K170" s="577"/>
      <c r="L170" s="577"/>
      <c r="M170" s="38"/>
      <c r="N170" s="403" t="str">
        <f t="shared" si="70"/>
        <v/>
      </c>
      <c r="O170" s="404" t="str">
        <f t="shared" si="71"/>
        <v/>
      </c>
      <c r="P170" s="403" t="str">
        <f t="shared" si="72"/>
        <v/>
      </c>
      <c r="Q170" s="405" t="str">
        <f t="shared" si="73"/>
        <v/>
      </c>
      <c r="R170" s="406" t="str">
        <f t="shared" si="74"/>
        <v/>
      </c>
      <c r="S170" s="404" t="str">
        <f t="shared" si="75"/>
        <v/>
      </c>
      <c r="T170" s="403" t="str">
        <f t="shared" si="76"/>
        <v/>
      </c>
      <c r="U170" s="405" t="str">
        <f t="shared" si="77"/>
        <v/>
      </c>
      <c r="V170" s="406" t="str">
        <f t="shared" si="78"/>
        <v/>
      </c>
      <c r="W170" s="404" t="str">
        <f t="shared" si="79"/>
        <v/>
      </c>
      <c r="X170" s="403" t="str">
        <f t="shared" si="80"/>
        <v/>
      </c>
      <c r="Y170" s="405" t="str">
        <f t="shared" si="81"/>
        <v/>
      </c>
      <c r="Z170" s="406" t="str">
        <f t="shared" si="82"/>
        <v/>
      </c>
      <c r="AA170" s="404" t="str">
        <f t="shared" si="83"/>
        <v/>
      </c>
      <c r="AB170" s="403" t="str">
        <f t="shared" si="84"/>
        <v/>
      </c>
      <c r="AC170" s="405" t="str">
        <f t="shared" si="85"/>
        <v/>
      </c>
      <c r="AD170" s="406" t="str">
        <f t="shared" si="86"/>
        <v/>
      </c>
      <c r="AE170" s="404" t="str">
        <f t="shared" si="87"/>
        <v/>
      </c>
      <c r="AF170" s="403" t="str">
        <f t="shared" si="88"/>
        <v/>
      </c>
      <c r="AG170" s="405" t="str">
        <f t="shared" si="89"/>
        <v/>
      </c>
      <c r="AH170" s="406" t="str">
        <f t="shared" si="90"/>
        <v/>
      </c>
      <c r="AI170" s="404" t="str">
        <f t="shared" si="91"/>
        <v/>
      </c>
      <c r="AJ170" s="403" t="str">
        <f t="shared" si="92"/>
        <v/>
      </c>
      <c r="AK170" s="407" t="str">
        <f t="shared" si="93"/>
        <v/>
      </c>
      <c r="AL170" s="408" t="str">
        <f t="shared" si="94"/>
        <v/>
      </c>
      <c r="AM170" s="404" t="str">
        <f t="shared" si="95"/>
        <v/>
      </c>
      <c r="AN170" s="38"/>
    </row>
    <row r="171" spans="1:40" ht="12.75" x14ac:dyDescent="0.2">
      <c r="A171" s="26"/>
      <c r="B171" s="38"/>
      <c r="C171" s="296" t="s">
        <v>637</v>
      </c>
      <c r="D171" s="296" t="str">
        <f>IF('WK2 - Notional General Income'!C138="","",'WK2 - Notional General Income'!C138)</f>
        <v/>
      </c>
      <c r="E171" s="406" t="str">
        <f>IF('WK2 - Notional General Income'!L138="","",'WK2 - Notional General Income'!L138/'WK2 - Notional General Income'!D138)</f>
        <v/>
      </c>
      <c r="F171" s="406" t="str">
        <f>IF('WK3 - Notional GI 15-16 YIELD'!L136="","",'WK3 - Notional GI 15-16 YIELD'!L136/'WK3 - Notional GI 15-16 YIELD'!D136)</f>
        <v/>
      </c>
      <c r="G171" s="577"/>
      <c r="H171" s="577"/>
      <c r="I171" s="577"/>
      <c r="J171" s="577"/>
      <c r="K171" s="577"/>
      <c r="L171" s="577"/>
      <c r="M171" s="38"/>
      <c r="N171" s="403" t="str">
        <f t="shared" si="70"/>
        <v/>
      </c>
      <c r="O171" s="404" t="str">
        <f t="shared" si="71"/>
        <v/>
      </c>
      <c r="P171" s="403" t="str">
        <f t="shared" si="72"/>
        <v/>
      </c>
      <c r="Q171" s="405" t="str">
        <f t="shared" si="73"/>
        <v/>
      </c>
      <c r="R171" s="406" t="str">
        <f t="shared" si="74"/>
        <v/>
      </c>
      <c r="S171" s="404" t="str">
        <f t="shared" si="75"/>
        <v/>
      </c>
      <c r="T171" s="403" t="str">
        <f t="shared" si="76"/>
        <v/>
      </c>
      <c r="U171" s="405" t="str">
        <f t="shared" si="77"/>
        <v/>
      </c>
      <c r="V171" s="406" t="str">
        <f t="shared" si="78"/>
        <v/>
      </c>
      <c r="W171" s="404" t="str">
        <f t="shared" si="79"/>
        <v/>
      </c>
      <c r="X171" s="403" t="str">
        <f t="shared" si="80"/>
        <v/>
      </c>
      <c r="Y171" s="405" t="str">
        <f t="shared" si="81"/>
        <v/>
      </c>
      <c r="Z171" s="406" t="str">
        <f t="shared" si="82"/>
        <v/>
      </c>
      <c r="AA171" s="404" t="str">
        <f t="shared" si="83"/>
        <v/>
      </c>
      <c r="AB171" s="403" t="str">
        <f t="shared" si="84"/>
        <v/>
      </c>
      <c r="AC171" s="405" t="str">
        <f t="shared" si="85"/>
        <v/>
      </c>
      <c r="AD171" s="406" t="str">
        <f t="shared" si="86"/>
        <v/>
      </c>
      <c r="AE171" s="404" t="str">
        <f t="shared" si="87"/>
        <v/>
      </c>
      <c r="AF171" s="403" t="str">
        <f t="shared" si="88"/>
        <v/>
      </c>
      <c r="AG171" s="405" t="str">
        <f t="shared" si="89"/>
        <v/>
      </c>
      <c r="AH171" s="406" t="str">
        <f t="shared" si="90"/>
        <v/>
      </c>
      <c r="AI171" s="404" t="str">
        <f t="shared" si="91"/>
        <v/>
      </c>
      <c r="AJ171" s="403" t="str">
        <f t="shared" si="92"/>
        <v/>
      </c>
      <c r="AK171" s="407" t="str">
        <f t="shared" si="93"/>
        <v/>
      </c>
      <c r="AL171" s="408" t="str">
        <f t="shared" si="94"/>
        <v/>
      </c>
      <c r="AM171" s="404" t="str">
        <f t="shared" si="95"/>
        <v/>
      </c>
      <c r="AN171" s="38"/>
    </row>
    <row r="172" spans="1:40" ht="12.75" x14ac:dyDescent="0.2">
      <c r="A172" s="26"/>
      <c r="B172" s="38"/>
      <c r="C172" s="296" t="s">
        <v>637</v>
      </c>
      <c r="D172" s="296" t="str">
        <f>IF('WK2 - Notional General Income'!C139="","",'WK2 - Notional General Income'!C139)</f>
        <v/>
      </c>
      <c r="E172" s="406" t="str">
        <f>IF('WK2 - Notional General Income'!L139="","",'WK2 - Notional General Income'!L139/'WK2 - Notional General Income'!D139)</f>
        <v/>
      </c>
      <c r="F172" s="406" t="str">
        <f>IF('WK3 - Notional GI 15-16 YIELD'!L137="","",'WK3 - Notional GI 15-16 YIELD'!L137/'WK3 - Notional GI 15-16 YIELD'!D137)</f>
        <v/>
      </c>
      <c r="G172" s="577"/>
      <c r="H172" s="577"/>
      <c r="I172" s="577"/>
      <c r="J172" s="577"/>
      <c r="K172" s="577"/>
      <c r="L172" s="577"/>
      <c r="M172" s="38"/>
      <c r="N172" s="403" t="str">
        <f t="shared" si="70"/>
        <v/>
      </c>
      <c r="O172" s="404" t="str">
        <f t="shared" si="71"/>
        <v/>
      </c>
      <c r="P172" s="403" t="str">
        <f t="shared" si="72"/>
        <v/>
      </c>
      <c r="Q172" s="405" t="str">
        <f t="shared" si="73"/>
        <v/>
      </c>
      <c r="R172" s="406" t="str">
        <f t="shared" si="74"/>
        <v/>
      </c>
      <c r="S172" s="404" t="str">
        <f t="shared" si="75"/>
        <v/>
      </c>
      <c r="T172" s="403" t="str">
        <f t="shared" si="76"/>
        <v/>
      </c>
      <c r="U172" s="405" t="str">
        <f t="shared" si="77"/>
        <v/>
      </c>
      <c r="V172" s="406" t="str">
        <f t="shared" si="78"/>
        <v/>
      </c>
      <c r="W172" s="404" t="str">
        <f t="shared" si="79"/>
        <v/>
      </c>
      <c r="X172" s="403" t="str">
        <f t="shared" si="80"/>
        <v/>
      </c>
      <c r="Y172" s="405" t="str">
        <f t="shared" si="81"/>
        <v/>
      </c>
      <c r="Z172" s="406" t="str">
        <f t="shared" si="82"/>
        <v/>
      </c>
      <c r="AA172" s="404" t="str">
        <f t="shared" si="83"/>
        <v/>
      </c>
      <c r="AB172" s="403" t="str">
        <f t="shared" si="84"/>
        <v/>
      </c>
      <c r="AC172" s="405" t="str">
        <f t="shared" si="85"/>
        <v/>
      </c>
      <c r="AD172" s="406" t="str">
        <f t="shared" si="86"/>
        <v/>
      </c>
      <c r="AE172" s="404" t="str">
        <f t="shared" si="87"/>
        <v/>
      </c>
      <c r="AF172" s="403" t="str">
        <f t="shared" si="88"/>
        <v/>
      </c>
      <c r="AG172" s="405" t="str">
        <f t="shared" si="89"/>
        <v/>
      </c>
      <c r="AH172" s="406" t="str">
        <f t="shared" si="90"/>
        <v/>
      </c>
      <c r="AI172" s="404" t="str">
        <f t="shared" si="91"/>
        <v/>
      </c>
      <c r="AJ172" s="403" t="str">
        <f t="shared" si="92"/>
        <v/>
      </c>
      <c r="AK172" s="407" t="str">
        <f t="shared" si="93"/>
        <v/>
      </c>
      <c r="AL172" s="408" t="str">
        <f t="shared" si="94"/>
        <v/>
      </c>
      <c r="AM172" s="404" t="str">
        <f t="shared" si="95"/>
        <v/>
      </c>
      <c r="AN172" s="38"/>
    </row>
    <row r="173" spans="1:40" ht="12.75" x14ac:dyDescent="0.2">
      <c r="A173" s="26"/>
      <c r="B173" s="38"/>
      <c r="C173" s="296" t="s">
        <v>637</v>
      </c>
      <c r="D173" s="296" t="str">
        <f>IF('WK2 - Notional General Income'!C140="","",'WK2 - Notional General Income'!C140)</f>
        <v/>
      </c>
      <c r="E173" s="406" t="str">
        <f>IF('WK2 - Notional General Income'!L140="","",'WK2 - Notional General Income'!L140/'WK2 - Notional General Income'!D140)</f>
        <v/>
      </c>
      <c r="F173" s="406" t="str">
        <f>IF('WK3 - Notional GI 15-16 YIELD'!L138="","",'WK3 - Notional GI 15-16 YIELD'!L138/'WK3 - Notional GI 15-16 YIELD'!D138)</f>
        <v/>
      </c>
      <c r="G173" s="577"/>
      <c r="H173" s="577"/>
      <c r="I173" s="577"/>
      <c r="J173" s="577"/>
      <c r="K173" s="577"/>
      <c r="L173" s="577"/>
      <c r="M173" s="38"/>
      <c r="N173" s="403" t="str">
        <f t="shared" si="70"/>
        <v/>
      </c>
      <c r="O173" s="404" t="str">
        <f t="shared" si="71"/>
        <v/>
      </c>
      <c r="P173" s="403" t="str">
        <f t="shared" si="72"/>
        <v/>
      </c>
      <c r="Q173" s="405" t="str">
        <f t="shared" si="73"/>
        <v/>
      </c>
      <c r="R173" s="406" t="str">
        <f t="shared" si="74"/>
        <v/>
      </c>
      <c r="S173" s="404" t="str">
        <f t="shared" si="75"/>
        <v/>
      </c>
      <c r="T173" s="403" t="str">
        <f t="shared" si="76"/>
        <v/>
      </c>
      <c r="U173" s="405" t="str">
        <f t="shared" si="77"/>
        <v/>
      </c>
      <c r="V173" s="406" t="str">
        <f t="shared" si="78"/>
        <v/>
      </c>
      <c r="W173" s="404" t="str">
        <f t="shared" si="79"/>
        <v/>
      </c>
      <c r="X173" s="403" t="str">
        <f t="shared" si="80"/>
        <v/>
      </c>
      <c r="Y173" s="405" t="str">
        <f t="shared" si="81"/>
        <v/>
      </c>
      <c r="Z173" s="406" t="str">
        <f t="shared" si="82"/>
        <v/>
      </c>
      <c r="AA173" s="404" t="str">
        <f t="shared" si="83"/>
        <v/>
      </c>
      <c r="AB173" s="403" t="str">
        <f t="shared" si="84"/>
        <v/>
      </c>
      <c r="AC173" s="405" t="str">
        <f t="shared" si="85"/>
        <v/>
      </c>
      <c r="AD173" s="406" t="str">
        <f t="shared" si="86"/>
        <v/>
      </c>
      <c r="AE173" s="404" t="str">
        <f t="shared" si="87"/>
        <v/>
      </c>
      <c r="AF173" s="403" t="str">
        <f t="shared" si="88"/>
        <v/>
      </c>
      <c r="AG173" s="405" t="str">
        <f t="shared" si="89"/>
        <v/>
      </c>
      <c r="AH173" s="406" t="str">
        <f t="shared" si="90"/>
        <v/>
      </c>
      <c r="AI173" s="404" t="str">
        <f t="shared" si="91"/>
        <v/>
      </c>
      <c r="AJ173" s="403" t="str">
        <f t="shared" si="92"/>
        <v/>
      </c>
      <c r="AK173" s="407" t="str">
        <f t="shared" si="93"/>
        <v/>
      </c>
      <c r="AL173" s="408" t="str">
        <f t="shared" si="94"/>
        <v/>
      </c>
      <c r="AM173" s="404" t="str">
        <f t="shared" si="95"/>
        <v/>
      </c>
      <c r="AN173" s="38"/>
    </row>
    <row r="174" spans="1:40" ht="12.75" x14ac:dyDescent="0.2">
      <c r="A174" s="26"/>
      <c r="B174" s="38"/>
      <c r="C174" s="296" t="s">
        <v>637</v>
      </c>
      <c r="D174" s="296" t="str">
        <f>IF('WK2 - Notional General Income'!C141="","",'WK2 - Notional General Income'!C141)</f>
        <v/>
      </c>
      <c r="E174" s="406" t="str">
        <f>IF('WK2 - Notional General Income'!L141="","",'WK2 - Notional General Income'!L141/'WK2 - Notional General Income'!D141)</f>
        <v/>
      </c>
      <c r="F174" s="406" t="str">
        <f>IF('WK3 - Notional GI 15-16 YIELD'!L139="","",'WK3 - Notional GI 15-16 YIELD'!L139/'WK3 - Notional GI 15-16 YIELD'!D139)</f>
        <v/>
      </c>
      <c r="G174" s="577"/>
      <c r="H174" s="577"/>
      <c r="I174" s="577"/>
      <c r="J174" s="577"/>
      <c r="K174" s="577"/>
      <c r="L174" s="577"/>
      <c r="M174" s="38"/>
      <c r="N174" s="403" t="str">
        <f t="shared" si="70"/>
        <v/>
      </c>
      <c r="O174" s="404" t="str">
        <f t="shared" si="71"/>
        <v/>
      </c>
      <c r="P174" s="403" t="str">
        <f t="shared" si="72"/>
        <v/>
      </c>
      <c r="Q174" s="405" t="str">
        <f t="shared" si="73"/>
        <v/>
      </c>
      <c r="R174" s="406" t="str">
        <f t="shared" si="74"/>
        <v/>
      </c>
      <c r="S174" s="404" t="str">
        <f t="shared" si="75"/>
        <v/>
      </c>
      <c r="T174" s="403" t="str">
        <f t="shared" si="76"/>
        <v/>
      </c>
      <c r="U174" s="405" t="str">
        <f t="shared" si="77"/>
        <v/>
      </c>
      <c r="V174" s="406" t="str">
        <f t="shared" si="78"/>
        <v/>
      </c>
      <c r="W174" s="404" t="str">
        <f t="shared" si="79"/>
        <v/>
      </c>
      <c r="X174" s="403" t="str">
        <f t="shared" si="80"/>
        <v/>
      </c>
      <c r="Y174" s="405" t="str">
        <f t="shared" si="81"/>
        <v/>
      </c>
      <c r="Z174" s="406" t="str">
        <f t="shared" si="82"/>
        <v/>
      </c>
      <c r="AA174" s="404" t="str">
        <f t="shared" si="83"/>
        <v/>
      </c>
      <c r="AB174" s="403" t="str">
        <f t="shared" si="84"/>
        <v/>
      </c>
      <c r="AC174" s="405" t="str">
        <f t="shared" si="85"/>
        <v/>
      </c>
      <c r="AD174" s="406" t="str">
        <f t="shared" si="86"/>
        <v/>
      </c>
      <c r="AE174" s="404" t="str">
        <f t="shared" si="87"/>
        <v/>
      </c>
      <c r="AF174" s="403" t="str">
        <f t="shared" si="88"/>
        <v/>
      </c>
      <c r="AG174" s="405" t="str">
        <f t="shared" si="89"/>
        <v/>
      </c>
      <c r="AH174" s="406" t="str">
        <f t="shared" si="90"/>
        <v/>
      </c>
      <c r="AI174" s="404" t="str">
        <f t="shared" si="91"/>
        <v/>
      </c>
      <c r="AJ174" s="403" t="str">
        <f t="shared" si="92"/>
        <v/>
      </c>
      <c r="AK174" s="407" t="str">
        <f t="shared" si="93"/>
        <v/>
      </c>
      <c r="AL174" s="408" t="str">
        <f t="shared" si="94"/>
        <v/>
      </c>
      <c r="AM174" s="404" t="str">
        <f t="shared" si="95"/>
        <v/>
      </c>
      <c r="AN174" s="38"/>
    </row>
    <row r="175" spans="1:40" ht="12.75" x14ac:dyDescent="0.2">
      <c r="A175" s="26"/>
      <c r="B175" s="38"/>
      <c r="C175" s="296" t="s">
        <v>637</v>
      </c>
      <c r="D175" s="296" t="str">
        <f>IF('WK2 - Notional General Income'!C142="","",'WK2 - Notional General Income'!C142)</f>
        <v/>
      </c>
      <c r="E175" s="406" t="str">
        <f>IF('WK2 - Notional General Income'!L142="","",'WK2 - Notional General Income'!L142/'WK2 - Notional General Income'!D142)</f>
        <v/>
      </c>
      <c r="F175" s="406" t="str">
        <f>IF('WK3 - Notional GI 15-16 YIELD'!L140="","",'WK3 - Notional GI 15-16 YIELD'!L140/'WK3 - Notional GI 15-16 YIELD'!D140)</f>
        <v/>
      </c>
      <c r="G175" s="577"/>
      <c r="H175" s="577"/>
      <c r="I175" s="577"/>
      <c r="J175" s="577"/>
      <c r="K175" s="577"/>
      <c r="L175" s="577"/>
      <c r="M175" s="38"/>
      <c r="N175" s="403" t="str">
        <f t="shared" si="70"/>
        <v/>
      </c>
      <c r="O175" s="404" t="str">
        <f t="shared" si="71"/>
        <v/>
      </c>
      <c r="P175" s="403" t="str">
        <f t="shared" si="72"/>
        <v/>
      </c>
      <c r="Q175" s="405" t="str">
        <f t="shared" si="73"/>
        <v/>
      </c>
      <c r="R175" s="406" t="str">
        <f t="shared" si="74"/>
        <v/>
      </c>
      <c r="S175" s="404" t="str">
        <f t="shared" si="75"/>
        <v/>
      </c>
      <c r="T175" s="403" t="str">
        <f t="shared" si="76"/>
        <v/>
      </c>
      <c r="U175" s="405" t="str">
        <f t="shared" si="77"/>
        <v/>
      </c>
      <c r="V175" s="406" t="str">
        <f t="shared" si="78"/>
        <v/>
      </c>
      <c r="W175" s="404" t="str">
        <f t="shared" si="79"/>
        <v/>
      </c>
      <c r="X175" s="403" t="str">
        <f t="shared" si="80"/>
        <v/>
      </c>
      <c r="Y175" s="405" t="str">
        <f t="shared" si="81"/>
        <v/>
      </c>
      <c r="Z175" s="406" t="str">
        <f t="shared" si="82"/>
        <v/>
      </c>
      <c r="AA175" s="404" t="str">
        <f t="shared" si="83"/>
        <v/>
      </c>
      <c r="AB175" s="403" t="str">
        <f t="shared" si="84"/>
        <v/>
      </c>
      <c r="AC175" s="405" t="str">
        <f t="shared" si="85"/>
        <v/>
      </c>
      <c r="AD175" s="406" t="str">
        <f t="shared" si="86"/>
        <v/>
      </c>
      <c r="AE175" s="404" t="str">
        <f t="shared" si="87"/>
        <v/>
      </c>
      <c r="AF175" s="403" t="str">
        <f t="shared" si="88"/>
        <v/>
      </c>
      <c r="AG175" s="405" t="str">
        <f t="shared" si="89"/>
        <v/>
      </c>
      <c r="AH175" s="406" t="str">
        <f t="shared" si="90"/>
        <v/>
      </c>
      <c r="AI175" s="404" t="str">
        <f t="shared" si="91"/>
        <v/>
      </c>
      <c r="AJ175" s="403" t="str">
        <f t="shared" si="92"/>
        <v/>
      </c>
      <c r="AK175" s="407" t="str">
        <f t="shared" si="93"/>
        <v/>
      </c>
      <c r="AL175" s="408" t="str">
        <f t="shared" si="94"/>
        <v/>
      </c>
      <c r="AM175" s="404" t="str">
        <f t="shared" si="95"/>
        <v/>
      </c>
      <c r="AN175" s="38"/>
    </row>
    <row r="176" spans="1:40" s="165" customFormat="1" ht="12.75" x14ac:dyDescent="0.2">
      <c r="A176" s="539"/>
      <c r="B176" s="540"/>
      <c r="C176" s="579"/>
      <c r="D176" s="579" t="s">
        <v>613</v>
      </c>
      <c r="E176" s="406" t="str">
        <f>IF(SUM(E156:E175)=0,"",('WK2 - Notional General Income'!L83+SUM('WK2 - Notional General Income'!L133:L142))/'WK2 - Notional General Income'!D83)</f>
        <v/>
      </c>
      <c r="F176" s="406" t="str">
        <f>IF(SUM(F156:F175)=0,"",('WK3 - Notional GI 15-16 YIELD'!L81+SUM('WK3 - Notional GI 15-16 YIELD'!L131:L140))/'WK3 - Notional GI 15-16 YIELD'!D81)</f>
        <v/>
      </c>
      <c r="G176" s="406" t="e">
        <f>G535/'WK3 - Notional GI 15-16 YIELD'!$D$81</f>
        <v>#DIV/0!</v>
      </c>
      <c r="H176" s="406" t="e">
        <f>H535/'WK3 - Notional GI 15-16 YIELD'!$D$81</f>
        <v>#DIV/0!</v>
      </c>
      <c r="I176" s="406" t="e">
        <f>I535/'WK3 - Notional GI 15-16 YIELD'!$D$81</f>
        <v>#DIV/0!</v>
      </c>
      <c r="J176" s="406" t="e">
        <f>J535/'WK3 - Notional GI 15-16 YIELD'!$D$81</f>
        <v>#DIV/0!</v>
      </c>
      <c r="K176" s="406" t="e">
        <f>K535/'WK3 - Notional GI 15-16 YIELD'!$D$81</f>
        <v>#DIV/0!</v>
      </c>
      <c r="L176" s="406" t="e">
        <f>L535/'WK3 - Notional GI 15-16 YIELD'!$D$81</f>
        <v>#DIV/0!</v>
      </c>
      <c r="M176" s="540"/>
      <c r="N176" s="403" t="str">
        <f t="shared" si="70"/>
        <v/>
      </c>
      <c r="O176" s="404" t="str">
        <f t="shared" si="71"/>
        <v/>
      </c>
      <c r="P176" s="403" t="e">
        <f t="shared" si="72"/>
        <v>#DIV/0!</v>
      </c>
      <c r="Q176" s="405" t="e">
        <f t="shared" si="73"/>
        <v>#DIV/0!</v>
      </c>
      <c r="R176" s="406" t="e">
        <f t="shared" si="74"/>
        <v>#DIV/0!</v>
      </c>
      <c r="S176" s="404" t="e">
        <f t="shared" si="75"/>
        <v>#DIV/0!</v>
      </c>
      <c r="T176" s="403" t="e">
        <f t="shared" si="76"/>
        <v>#DIV/0!</v>
      </c>
      <c r="U176" s="405" t="e">
        <f t="shared" si="77"/>
        <v>#DIV/0!</v>
      </c>
      <c r="V176" s="406" t="e">
        <f t="shared" si="78"/>
        <v>#DIV/0!</v>
      </c>
      <c r="W176" s="404" t="e">
        <f t="shared" si="79"/>
        <v>#DIV/0!</v>
      </c>
      <c r="X176" s="403" t="e">
        <f t="shared" si="80"/>
        <v>#DIV/0!</v>
      </c>
      <c r="Y176" s="405" t="e">
        <f t="shared" si="81"/>
        <v>#DIV/0!</v>
      </c>
      <c r="Z176" s="406" t="e">
        <f t="shared" si="82"/>
        <v>#DIV/0!</v>
      </c>
      <c r="AA176" s="404" t="e">
        <f t="shared" si="83"/>
        <v>#DIV/0!</v>
      </c>
      <c r="AB176" s="403" t="e">
        <f t="shared" si="84"/>
        <v>#DIV/0!</v>
      </c>
      <c r="AC176" s="405" t="e">
        <f t="shared" si="85"/>
        <v>#DIV/0!</v>
      </c>
      <c r="AD176" s="406" t="e">
        <f t="shared" si="86"/>
        <v>#DIV/0!</v>
      </c>
      <c r="AE176" s="404" t="e">
        <f t="shared" si="87"/>
        <v>#DIV/0!</v>
      </c>
      <c r="AF176" s="403" t="e">
        <f t="shared" si="88"/>
        <v>#DIV/0!</v>
      </c>
      <c r="AG176" s="405" t="e">
        <f t="shared" si="89"/>
        <v>#DIV/0!</v>
      </c>
      <c r="AH176" s="406" t="e">
        <f t="shared" si="90"/>
        <v>#DIV/0!</v>
      </c>
      <c r="AI176" s="404" t="e">
        <f t="shared" si="91"/>
        <v>#DIV/0!</v>
      </c>
      <c r="AJ176" s="403" t="e">
        <f t="shared" si="92"/>
        <v>#DIV/0!</v>
      </c>
      <c r="AK176" s="407" t="e">
        <f t="shared" si="93"/>
        <v>#DIV/0!</v>
      </c>
      <c r="AL176" s="408" t="e">
        <f t="shared" si="94"/>
        <v>#DIV/0!</v>
      </c>
      <c r="AM176" s="404" t="e">
        <f t="shared" si="95"/>
        <v>#DIV/0!</v>
      </c>
      <c r="AN176" s="540"/>
    </row>
    <row r="177" spans="1:40" ht="13.5" thickBot="1" x14ac:dyDescent="0.25">
      <c r="A177" s="26"/>
      <c r="B177" s="38"/>
      <c r="C177" s="417"/>
      <c r="D177" s="417"/>
      <c r="E177" s="417"/>
      <c r="F177" s="417"/>
      <c r="G177" s="417"/>
      <c r="H177" s="417"/>
      <c r="I177" s="417"/>
      <c r="J177" s="417"/>
      <c r="K177" s="417"/>
      <c r="L177" s="418"/>
      <c r="M177" s="38"/>
      <c r="N177" s="403" t="str">
        <f t="shared" si="70"/>
        <v/>
      </c>
      <c r="O177" s="404" t="str">
        <f t="shared" si="71"/>
        <v/>
      </c>
      <c r="P177" s="403" t="str">
        <f t="shared" si="72"/>
        <v/>
      </c>
      <c r="Q177" s="405" t="str">
        <f>IF(P177="","",P177/F177)</f>
        <v/>
      </c>
      <c r="R177" s="406" t="str">
        <f>IF(P177="","",P177+N177)</f>
        <v/>
      </c>
      <c r="S177" s="404" t="str">
        <f>IF(R177="","",R177/E177)</f>
        <v/>
      </c>
      <c r="T177" s="403" t="str">
        <f>IF(H177=0,"",IF(G177=0,"",H177-G177))</f>
        <v/>
      </c>
      <c r="U177" s="405" t="str">
        <f>IF(T177="","",T177/G177)</f>
        <v/>
      </c>
      <c r="V177" s="406" t="str">
        <f>IF(T177="","",T177+R177)</f>
        <v/>
      </c>
      <c r="W177" s="404" t="str">
        <f>IF(V177="","",V177/E177)</f>
        <v/>
      </c>
      <c r="X177" s="403" t="str">
        <f>IF(I177=0,"",IF(H177=0,"",I177-H177))</f>
        <v/>
      </c>
      <c r="Y177" s="405" t="str">
        <f>IF(X177="","",X177/H177)</f>
        <v/>
      </c>
      <c r="Z177" s="406" t="str">
        <f>IF(X177="","",X177+V177)</f>
        <v/>
      </c>
      <c r="AA177" s="404" t="str">
        <f>IF(Z177="","",Z177/E177)</f>
        <v/>
      </c>
      <c r="AB177" s="403" t="str">
        <f>IF(J177=0,"",IF(I177=0,"",J177-I177))</f>
        <v/>
      </c>
      <c r="AC177" s="405" t="str">
        <f>IF(AB177="","",AB177/I177)</f>
        <v/>
      </c>
      <c r="AD177" s="406" t="str">
        <f>IF(AB177="","",AB177+Z177)</f>
        <v/>
      </c>
      <c r="AE177" s="404" t="str">
        <f>IF(AD177="","",AD177/E177)</f>
        <v/>
      </c>
      <c r="AF177" s="403" t="str">
        <f>IF(K177=0,"",IF(J177=0,"",K177-J177))</f>
        <v/>
      </c>
      <c r="AG177" s="405" t="str">
        <f>IF(AF177="","",AF177/J177)</f>
        <v/>
      </c>
      <c r="AH177" s="406" t="str">
        <f>IF(AF177="","",AF177+AD177)</f>
        <v/>
      </c>
      <c r="AI177" s="404" t="str">
        <f>IF(AH177="","",AH177/E177)</f>
        <v/>
      </c>
      <c r="AJ177" s="403" t="str">
        <f>IF(L177=0,"",IF(K177=0,"",L177-K177))</f>
        <v/>
      </c>
      <c r="AK177" s="407" t="str">
        <f>IF(AJ177="","",AJ177/K177)</f>
        <v/>
      </c>
      <c r="AL177" s="408" t="str">
        <f>IF(AJ177="","",AJ177+AH177)</f>
        <v/>
      </c>
      <c r="AM177" s="404" t="str">
        <f>IF(AL177="","",AL177/E177)</f>
        <v/>
      </c>
      <c r="AN177" s="38"/>
    </row>
    <row r="178" spans="1:40" ht="12.75" thickTop="1" x14ac:dyDescent="0.2">
      <c r="A178" s="28"/>
      <c r="B178" s="38"/>
      <c r="C178" s="38"/>
      <c r="D178" s="38"/>
      <c r="E178" s="38"/>
      <c r="F178" s="38"/>
      <c r="G178" s="38"/>
      <c r="H178" s="38"/>
      <c r="I178" s="38"/>
      <c r="J178" s="38"/>
      <c r="K178" s="38"/>
      <c r="L178" s="38"/>
      <c r="M178" s="38"/>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5"/>
      <c r="AJ178" s="275"/>
      <c r="AK178" s="275"/>
      <c r="AL178" s="275"/>
      <c r="AM178" s="275"/>
      <c r="AN178" s="38"/>
    </row>
    <row r="179" spans="1:40" ht="15.75" x14ac:dyDescent="0.25">
      <c r="A179" s="26"/>
      <c r="B179" s="38"/>
      <c r="C179" s="84" t="s">
        <v>428</v>
      </c>
      <c r="D179" s="38"/>
      <c r="E179" s="38"/>
      <c r="F179" s="38"/>
      <c r="G179" s="38"/>
      <c r="H179" s="38"/>
      <c r="I179" s="38"/>
      <c r="J179" s="38"/>
      <c r="K179" s="38"/>
      <c r="L179" s="38"/>
      <c r="M179" s="38"/>
      <c r="N179" s="84"/>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row>
    <row r="180" spans="1:40" ht="9" customHeight="1" thickBot="1" x14ac:dyDescent="0.3">
      <c r="A180" s="26"/>
      <c r="B180" s="38"/>
      <c r="C180" s="84"/>
      <c r="D180" s="38"/>
      <c r="E180" s="38"/>
      <c r="F180" s="38"/>
      <c r="G180" s="38"/>
      <c r="H180" s="38"/>
      <c r="I180" s="38"/>
      <c r="J180" s="38"/>
      <c r="K180" s="38"/>
      <c r="L180" s="38"/>
      <c r="M180" s="38"/>
      <c r="N180" s="277"/>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277"/>
      <c r="AN180" s="38"/>
    </row>
    <row r="181" spans="1:40" ht="17.25" thickTop="1" thickBot="1" x14ac:dyDescent="0.3">
      <c r="A181" s="26"/>
      <c r="B181" s="38"/>
      <c r="C181" s="38"/>
      <c r="D181" s="38"/>
      <c r="E181" s="38"/>
      <c r="F181" s="805" t="s">
        <v>376</v>
      </c>
      <c r="G181" s="806"/>
      <c r="H181" s="806"/>
      <c r="I181" s="806"/>
      <c r="J181" s="806"/>
      <c r="K181" s="806"/>
      <c r="L181" s="807"/>
      <c r="M181" s="38"/>
      <c r="N181" s="810" t="s">
        <v>906</v>
      </c>
      <c r="O181" s="811"/>
      <c r="P181" s="811"/>
      <c r="Q181" s="811"/>
      <c r="R181" s="811"/>
      <c r="S181" s="811"/>
      <c r="T181" s="811"/>
      <c r="U181" s="811"/>
      <c r="V181" s="811"/>
      <c r="W181" s="811"/>
      <c r="X181" s="811"/>
      <c r="Y181" s="811"/>
      <c r="Z181" s="811"/>
      <c r="AA181" s="811"/>
      <c r="AB181" s="811"/>
      <c r="AC181" s="811"/>
      <c r="AD181" s="811"/>
      <c r="AE181" s="811"/>
      <c r="AF181" s="811"/>
      <c r="AG181" s="811"/>
      <c r="AH181" s="811"/>
      <c r="AI181" s="811"/>
      <c r="AJ181" s="811"/>
      <c r="AK181" s="811"/>
      <c r="AL181" s="811"/>
      <c r="AM181" s="812"/>
      <c r="AN181" s="38"/>
    </row>
    <row r="182" spans="1:40" ht="39" customHeight="1" thickTop="1" x14ac:dyDescent="0.2">
      <c r="A182" s="26"/>
      <c r="B182" s="38"/>
      <c r="C182" s="290" t="s">
        <v>317</v>
      </c>
      <c r="D182" s="291" t="s">
        <v>408</v>
      </c>
      <c r="E182" s="292" t="s">
        <v>910</v>
      </c>
      <c r="F182" s="293" t="s">
        <v>911</v>
      </c>
      <c r="G182" s="293" t="s">
        <v>912</v>
      </c>
      <c r="H182" s="293" t="s">
        <v>913</v>
      </c>
      <c r="I182" s="293" t="s">
        <v>914</v>
      </c>
      <c r="J182" s="293" t="s">
        <v>915</v>
      </c>
      <c r="K182" s="293" t="s">
        <v>916</v>
      </c>
      <c r="L182" s="294" t="s">
        <v>917</v>
      </c>
      <c r="M182" s="38"/>
      <c r="N182" s="793" t="s">
        <v>95</v>
      </c>
      <c r="O182" s="795"/>
      <c r="P182" s="793" t="s">
        <v>96</v>
      </c>
      <c r="Q182" s="794"/>
      <c r="R182" s="794"/>
      <c r="S182" s="795"/>
      <c r="T182" s="793" t="s">
        <v>97</v>
      </c>
      <c r="U182" s="794"/>
      <c r="V182" s="794"/>
      <c r="W182" s="795"/>
      <c r="X182" s="793" t="s">
        <v>98</v>
      </c>
      <c r="Y182" s="794"/>
      <c r="Z182" s="794"/>
      <c r="AA182" s="795"/>
      <c r="AB182" s="793" t="s">
        <v>99</v>
      </c>
      <c r="AC182" s="794"/>
      <c r="AD182" s="794"/>
      <c r="AE182" s="795"/>
      <c r="AF182" s="793" t="s">
        <v>100</v>
      </c>
      <c r="AG182" s="794"/>
      <c r="AH182" s="794"/>
      <c r="AI182" s="795"/>
      <c r="AJ182" s="793" t="s">
        <v>101</v>
      </c>
      <c r="AK182" s="794"/>
      <c r="AL182" s="794"/>
      <c r="AM182" s="813"/>
      <c r="AN182" s="38"/>
    </row>
    <row r="183" spans="1:40" ht="12.75" x14ac:dyDescent="0.2">
      <c r="A183" s="26"/>
      <c r="B183" s="38"/>
      <c r="C183" s="295"/>
      <c r="D183" s="296"/>
      <c r="E183" s="160" t="str">
        <f t="shared" ref="E183:L183" si="98">E57</f>
        <v>2014/15</v>
      </c>
      <c r="F183" s="160" t="str">
        <f t="shared" si="98"/>
        <v>2015/16</v>
      </c>
      <c r="G183" s="160" t="str">
        <f t="shared" si="98"/>
        <v>2016/17</v>
      </c>
      <c r="H183" s="160" t="str">
        <f t="shared" si="98"/>
        <v>2017/18</v>
      </c>
      <c r="I183" s="160" t="str">
        <f t="shared" si="98"/>
        <v>2018/19</v>
      </c>
      <c r="J183" s="160" t="str">
        <f t="shared" si="98"/>
        <v>2019/20</v>
      </c>
      <c r="K183" s="160" t="str">
        <f t="shared" si="98"/>
        <v>2020/21</v>
      </c>
      <c r="L183" s="182" t="str">
        <f t="shared" si="98"/>
        <v>2021/22</v>
      </c>
      <c r="M183" s="38"/>
      <c r="N183" s="251" t="s">
        <v>102</v>
      </c>
      <c r="O183" s="248" t="s">
        <v>125</v>
      </c>
      <c r="P183" s="251" t="s">
        <v>102</v>
      </c>
      <c r="Q183" s="247" t="s">
        <v>125</v>
      </c>
      <c r="R183" s="244" t="s">
        <v>103</v>
      </c>
      <c r="S183" s="248" t="s">
        <v>125</v>
      </c>
      <c r="T183" s="251" t="s">
        <v>102</v>
      </c>
      <c r="U183" s="244" t="s">
        <v>125</v>
      </c>
      <c r="V183" s="245" t="s">
        <v>103</v>
      </c>
      <c r="W183" s="248" t="s">
        <v>125</v>
      </c>
      <c r="X183" s="251" t="s">
        <v>102</v>
      </c>
      <c r="Y183" s="247" t="s">
        <v>125</v>
      </c>
      <c r="Z183" s="244" t="s">
        <v>103</v>
      </c>
      <c r="AA183" s="248" t="s">
        <v>125</v>
      </c>
      <c r="AB183" s="251" t="s">
        <v>102</v>
      </c>
      <c r="AC183" s="247" t="s">
        <v>125</v>
      </c>
      <c r="AD183" s="244" t="s">
        <v>103</v>
      </c>
      <c r="AE183" s="248" t="s">
        <v>125</v>
      </c>
      <c r="AF183" s="251" t="s">
        <v>102</v>
      </c>
      <c r="AG183" s="244" t="s">
        <v>125</v>
      </c>
      <c r="AH183" s="245" t="s">
        <v>103</v>
      </c>
      <c r="AI183" s="248" t="s">
        <v>125</v>
      </c>
      <c r="AJ183" s="251" t="s">
        <v>102</v>
      </c>
      <c r="AK183" s="247" t="s">
        <v>125</v>
      </c>
      <c r="AL183" s="244" t="s">
        <v>103</v>
      </c>
      <c r="AM183" s="246" t="s">
        <v>125</v>
      </c>
      <c r="AN183" s="38"/>
    </row>
    <row r="184" spans="1:40" ht="12.75" x14ac:dyDescent="0.2">
      <c r="A184" s="26"/>
      <c r="B184" s="38"/>
      <c r="C184" s="296" t="s">
        <v>304</v>
      </c>
      <c r="D184" s="296" t="str">
        <f t="shared" ref="D184:E213" si="99">D58</f>
        <v/>
      </c>
      <c r="E184" s="406">
        <f t="shared" si="99"/>
        <v>969.96819025581351</v>
      </c>
      <c r="F184" s="415">
        <f>+F58</f>
        <v>990.5690939744353</v>
      </c>
      <c r="G184" s="415">
        <f t="shared" ref="G184:L184" si="100">+G58</f>
        <v>1020.2861667936684</v>
      </c>
      <c r="H184" s="415">
        <f t="shared" si="100"/>
        <v>1050.8947517974784</v>
      </c>
      <c r="I184" s="415">
        <f t="shared" si="100"/>
        <v>1082.4215943514027</v>
      </c>
      <c r="J184" s="415">
        <f t="shared" si="100"/>
        <v>1114.8942421819449</v>
      </c>
      <c r="K184" s="415">
        <f t="shared" si="100"/>
        <v>1148.3410694474032</v>
      </c>
      <c r="L184" s="415">
        <f t="shared" si="100"/>
        <v>1182.7913015308254</v>
      </c>
      <c r="M184" s="38"/>
      <c r="N184" s="403">
        <f t="shared" ref="N184:N303" si="101">IF(F184=0,"",IF(E184=0,"",F184-E184))</f>
        <v>20.600903718621794</v>
      </c>
      <c r="O184" s="404">
        <f t="shared" ref="O184:O303" si="102">IF(N184="","",N184/E184)</f>
        <v>2.123874156449258E-2</v>
      </c>
      <c r="P184" s="403">
        <f>IF(G184=0,"",IF(F184=0,"",G184-F184))</f>
        <v>29.717072819233067</v>
      </c>
      <c r="Q184" s="405">
        <f t="shared" ref="Q184:Q303" si="103">IF(P184="","",P184/F184)</f>
        <v>3.0000000000000009E-2</v>
      </c>
      <c r="R184" s="406">
        <f>IF(P184="","",P184+N184)</f>
        <v>50.317976537854861</v>
      </c>
      <c r="S184" s="404">
        <f t="shared" ref="S184:S303" si="104">IF(R184="","",R184/E184)</f>
        <v>5.1875903811427364E-2</v>
      </c>
      <c r="T184" s="403">
        <f t="shared" ref="T184:T247" si="105">IF(H184=0,"",IF(G184=0,"",H184-G184))</f>
        <v>30.608585003810049</v>
      </c>
      <c r="U184" s="407">
        <f t="shared" ref="U184:U302" si="106">IF(T184="","",T184/G184)</f>
        <v>0.03</v>
      </c>
      <c r="V184" s="408">
        <f t="shared" ref="V184:V302" si="107">IF(T184="","",T184+R184)</f>
        <v>80.92656154166491</v>
      </c>
      <c r="W184" s="404">
        <f t="shared" ref="W184:W302" si="108">IF(V184="","",V184/E184)</f>
        <v>8.3432180925770191E-2</v>
      </c>
      <c r="X184" s="403">
        <f t="shared" ref="X184:X247" si="109">IF(I184=0,"",IF(H184=0,"",I184-H184))</f>
        <v>31.526842553924325</v>
      </c>
      <c r="Y184" s="405">
        <f t="shared" ref="Y184:Y302" si="110">IF(X184="","",X184/H184)</f>
        <v>2.9999999999999975E-2</v>
      </c>
      <c r="Z184" s="406">
        <f t="shared" ref="Z184:Z302" si="111">IF(X184="","",X184+V184)</f>
        <v>112.45340409558924</v>
      </c>
      <c r="AA184" s="404">
        <f t="shared" ref="AA184:AA302" si="112">IF(Z184="","",Z184/E184)</f>
        <v>0.11593514635354327</v>
      </c>
      <c r="AB184" s="403">
        <f t="shared" ref="AB184:AB247" si="113">IF(J184=0,"",IF(I184=0,"",J184-I184))</f>
        <v>32.472647830542201</v>
      </c>
      <c r="AC184" s="405">
        <f t="shared" ref="AC184:AC302" si="114">IF(AB184="","",AB184/I184)</f>
        <v>3.000000000000011E-2</v>
      </c>
      <c r="AD184" s="406">
        <f t="shared" ref="AD184:AD302" si="115">IF(AB184="","",AB184+Z184)</f>
        <v>144.92605192613144</v>
      </c>
      <c r="AE184" s="404">
        <f t="shared" ref="AE184:AE302" si="116">IF(AD184="","",AD184/E184)</f>
        <v>0.14941320074414968</v>
      </c>
      <c r="AF184" s="403">
        <f t="shared" ref="AF184:AF247" si="117">IF(K184=0,"",IF(J184=0,"",K184-J184))</f>
        <v>33.446827265458296</v>
      </c>
      <c r="AG184" s="407">
        <f t="shared" ref="AG184:AG302" si="118">IF(AF184="","",AF184/J184)</f>
        <v>2.9999999999999954E-2</v>
      </c>
      <c r="AH184" s="408">
        <f t="shared" ref="AH184:AH302" si="119">IF(AF184="","",AF184+AD184)</f>
        <v>178.37287919158973</v>
      </c>
      <c r="AI184" s="404">
        <f t="shared" ref="AI184:AI302" si="120">IF(AH184="","",AH184/E184)</f>
        <v>0.18389559676647413</v>
      </c>
      <c r="AJ184" s="403">
        <f t="shared" ref="AJ184:AJ247" si="121">IF(L184=0,"",IF(K184=0,"",L184-K184))</f>
        <v>34.450232083422179</v>
      </c>
      <c r="AK184" s="405">
        <f t="shared" ref="AK184:AK302" si="122">IF(AJ184="","",AJ184/K184)</f>
        <v>3.0000000000000072E-2</v>
      </c>
      <c r="AL184" s="406">
        <f t="shared" ref="AL184:AL302" si="123">IF(AJ184="","",AJ184+AH184)</f>
        <v>212.82311127501191</v>
      </c>
      <c r="AM184" s="419">
        <f t="shared" ref="AM184:AM302" si="124">IF(AL184="","",AL184/E184)</f>
        <v>0.21941246466946843</v>
      </c>
      <c r="AN184" s="38"/>
    </row>
    <row r="185" spans="1:40" ht="12.75" x14ac:dyDescent="0.2">
      <c r="A185" s="26"/>
      <c r="B185" s="38"/>
      <c r="C185" s="296" t="s">
        <v>304</v>
      </c>
      <c r="D185" s="296" t="str">
        <f t="shared" si="99"/>
        <v>Non Urban</v>
      </c>
      <c r="E185" s="406">
        <f t="shared" si="99"/>
        <v>66.385144014362652</v>
      </c>
      <c r="F185" s="415">
        <f>+F59</f>
        <v>68.655599202175878</v>
      </c>
      <c r="G185" s="415">
        <f t="shared" ref="G185:L185" si="125">+G59</f>
        <v>70.715267178241163</v>
      </c>
      <c r="H185" s="415">
        <f t="shared" si="125"/>
        <v>72.836725193588393</v>
      </c>
      <c r="I185" s="415">
        <f t="shared" si="125"/>
        <v>75.021826949396043</v>
      </c>
      <c r="J185" s="415">
        <f t="shared" si="125"/>
        <v>77.272481757877927</v>
      </c>
      <c r="K185" s="415">
        <f t="shared" si="125"/>
        <v>79.59065621061427</v>
      </c>
      <c r="L185" s="415">
        <f t="shared" si="125"/>
        <v>81.978375896932704</v>
      </c>
      <c r="M185" s="38"/>
      <c r="N185" s="403">
        <f t="shared" si="101"/>
        <v>2.2704551878132264</v>
      </c>
      <c r="O185" s="404">
        <f t="shared" si="102"/>
        <v>3.4201254234260688E-2</v>
      </c>
      <c r="P185" s="403">
        <f t="shared" ref="P185:P248" si="126">IF(G185=0,"",IF(F185=0,"",G185-F185))</f>
        <v>2.0596679760652847</v>
      </c>
      <c r="Q185" s="405">
        <f t="shared" si="103"/>
        <v>3.0000000000000124E-2</v>
      </c>
      <c r="R185" s="406">
        <f t="shared" ref="R185:R248" si="127">IF(P185="","",P185+N185)</f>
        <v>4.3301231638785111</v>
      </c>
      <c r="S185" s="404">
        <f t="shared" si="104"/>
        <v>6.5227291861288644E-2</v>
      </c>
      <c r="T185" s="403">
        <f t="shared" si="105"/>
        <v>2.1214580153472298</v>
      </c>
      <c r="U185" s="407">
        <f t="shared" si="106"/>
        <v>2.9999999999999926E-2</v>
      </c>
      <c r="V185" s="408">
        <f t="shared" si="107"/>
        <v>6.4515811792257409</v>
      </c>
      <c r="W185" s="404">
        <f t="shared" si="108"/>
        <v>9.7184110617127215E-2</v>
      </c>
      <c r="X185" s="403">
        <f t="shared" si="109"/>
        <v>2.1851017558076506</v>
      </c>
      <c r="Y185" s="405">
        <f t="shared" si="110"/>
        <v>2.9999999999999985E-2</v>
      </c>
      <c r="Z185" s="406">
        <f t="shared" si="111"/>
        <v>8.6366829350333916</v>
      </c>
      <c r="AA185" s="404">
        <f t="shared" si="112"/>
        <v>0.13009963393564103</v>
      </c>
      <c r="AB185" s="403">
        <f t="shared" si="113"/>
        <v>2.2506548084818832</v>
      </c>
      <c r="AC185" s="405">
        <f t="shared" si="114"/>
        <v>3.0000000000000023E-2</v>
      </c>
      <c r="AD185" s="406">
        <f t="shared" si="115"/>
        <v>10.887337743515275</v>
      </c>
      <c r="AE185" s="404">
        <f t="shared" si="116"/>
        <v>0.16400262295371026</v>
      </c>
      <c r="AF185" s="403">
        <f t="shared" si="117"/>
        <v>2.3181744527363435</v>
      </c>
      <c r="AG185" s="407">
        <f t="shared" si="118"/>
        <v>3.0000000000000075E-2</v>
      </c>
      <c r="AH185" s="408">
        <f t="shared" si="119"/>
        <v>13.205512196251618</v>
      </c>
      <c r="AI185" s="404">
        <f t="shared" si="120"/>
        <v>0.19892270164232168</v>
      </c>
      <c r="AJ185" s="403">
        <f t="shared" si="121"/>
        <v>2.3877196863184338</v>
      </c>
      <c r="AK185" s="405">
        <f t="shared" si="122"/>
        <v>3.0000000000000072E-2</v>
      </c>
      <c r="AL185" s="406">
        <f t="shared" si="123"/>
        <v>15.593231882570052</v>
      </c>
      <c r="AM185" s="419">
        <f t="shared" si="124"/>
        <v>0.2348903826915914</v>
      </c>
      <c r="AN185" s="38"/>
    </row>
    <row r="186" spans="1:40" ht="12.75" x14ac:dyDescent="0.2">
      <c r="A186" s="26"/>
      <c r="B186" s="38"/>
      <c r="C186" s="296" t="s">
        <v>304</v>
      </c>
      <c r="D186" s="296" t="str">
        <f t="shared" si="99"/>
        <v/>
      </c>
      <c r="E186" s="406" t="str">
        <f t="shared" si="99"/>
        <v/>
      </c>
      <c r="F186" s="415"/>
      <c r="G186" s="415"/>
      <c r="H186" s="415"/>
      <c r="I186" s="415"/>
      <c r="J186" s="415"/>
      <c r="K186" s="415"/>
      <c r="L186" s="415"/>
      <c r="M186" s="38"/>
      <c r="N186" s="403" t="str">
        <f t="shared" si="101"/>
        <v/>
      </c>
      <c r="O186" s="404" t="str">
        <f t="shared" si="102"/>
        <v/>
      </c>
      <c r="P186" s="403" t="str">
        <f t="shared" si="126"/>
        <v/>
      </c>
      <c r="Q186" s="405" t="str">
        <f t="shared" si="103"/>
        <v/>
      </c>
      <c r="R186" s="406" t="str">
        <f t="shared" si="127"/>
        <v/>
      </c>
      <c r="S186" s="404" t="str">
        <f t="shared" si="104"/>
        <v/>
      </c>
      <c r="T186" s="403" t="str">
        <f t="shared" si="105"/>
        <v/>
      </c>
      <c r="U186" s="407" t="str">
        <f t="shared" si="106"/>
        <v/>
      </c>
      <c r="V186" s="408" t="str">
        <f t="shared" si="107"/>
        <v/>
      </c>
      <c r="W186" s="404" t="str">
        <f t="shared" si="108"/>
        <v/>
      </c>
      <c r="X186" s="403" t="str">
        <f t="shared" si="109"/>
        <v/>
      </c>
      <c r="Y186" s="405" t="str">
        <f t="shared" si="110"/>
        <v/>
      </c>
      <c r="Z186" s="406" t="str">
        <f t="shared" si="111"/>
        <v/>
      </c>
      <c r="AA186" s="404" t="str">
        <f t="shared" si="112"/>
        <v/>
      </c>
      <c r="AB186" s="403" t="str">
        <f t="shared" si="113"/>
        <v/>
      </c>
      <c r="AC186" s="405" t="str">
        <f t="shared" si="114"/>
        <v/>
      </c>
      <c r="AD186" s="406" t="str">
        <f t="shared" si="115"/>
        <v/>
      </c>
      <c r="AE186" s="404" t="str">
        <f t="shared" si="116"/>
        <v/>
      </c>
      <c r="AF186" s="403" t="str">
        <f t="shared" si="117"/>
        <v/>
      </c>
      <c r="AG186" s="407" t="str">
        <f t="shared" si="118"/>
        <v/>
      </c>
      <c r="AH186" s="408" t="str">
        <f t="shared" si="119"/>
        <v/>
      </c>
      <c r="AI186" s="404" t="str">
        <f t="shared" si="120"/>
        <v/>
      </c>
      <c r="AJ186" s="403" t="str">
        <f t="shared" si="121"/>
        <v/>
      </c>
      <c r="AK186" s="405" t="str">
        <f t="shared" si="122"/>
        <v/>
      </c>
      <c r="AL186" s="406" t="str">
        <f t="shared" si="123"/>
        <v/>
      </c>
      <c r="AM186" s="419" t="str">
        <f t="shared" si="124"/>
        <v/>
      </c>
      <c r="AN186" s="38"/>
    </row>
    <row r="187" spans="1:40" ht="12.75" x14ac:dyDescent="0.2">
      <c r="A187" s="26"/>
      <c r="B187" s="38"/>
      <c r="C187" s="296" t="s">
        <v>304</v>
      </c>
      <c r="D187" s="296" t="str">
        <f t="shared" si="99"/>
        <v/>
      </c>
      <c r="E187" s="406" t="str">
        <f t="shared" si="99"/>
        <v/>
      </c>
      <c r="F187" s="415"/>
      <c r="G187" s="415"/>
      <c r="H187" s="415"/>
      <c r="I187" s="415"/>
      <c r="J187" s="415"/>
      <c r="K187" s="415"/>
      <c r="L187" s="415"/>
      <c r="M187" s="38"/>
      <c r="N187" s="403" t="str">
        <f t="shared" si="101"/>
        <v/>
      </c>
      <c r="O187" s="404" t="str">
        <f t="shared" si="102"/>
        <v/>
      </c>
      <c r="P187" s="403" t="str">
        <f t="shared" si="126"/>
        <v/>
      </c>
      <c r="Q187" s="405" t="str">
        <f t="shared" si="103"/>
        <v/>
      </c>
      <c r="R187" s="406" t="str">
        <f t="shared" si="127"/>
        <v/>
      </c>
      <c r="S187" s="404" t="str">
        <f t="shared" si="104"/>
        <v/>
      </c>
      <c r="T187" s="403" t="str">
        <f t="shared" si="105"/>
        <v/>
      </c>
      <c r="U187" s="407" t="str">
        <f t="shared" si="106"/>
        <v/>
      </c>
      <c r="V187" s="408" t="str">
        <f t="shared" si="107"/>
        <v/>
      </c>
      <c r="W187" s="404" t="str">
        <f t="shared" si="108"/>
        <v/>
      </c>
      <c r="X187" s="403" t="str">
        <f t="shared" si="109"/>
        <v/>
      </c>
      <c r="Y187" s="405" t="str">
        <f t="shared" si="110"/>
        <v/>
      </c>
      <c r="Z187" s="406" t="str">
        <f t="shared" si="111"/>
        <v/>
      </c>
      <c r="AA187" s="404" t="str">
        <f t="shared" si="112"/>
        <v/>
      </c>
      <c r="AB187" s="403" t="str">
        <f t="shared" si="113"/>
        <v/>
      </c>
      <c r="AC187" s="405" t="str">
        <f t="shared" si="114"/>
        <v/>
      </c>
      <c r="AD187" s="406" t="str">
        <f t="shared" si="115"/>
        <v/>
      </c>
      <c r="AE187" s="404" t="str">
        <f t="shared" si="116"/>
        <v/>
      </c>
      <c r="AF187" s="403" t="str">
        <f t="shared" si="117"/>
        <v/>
      </c>
      <c r="AG187" s="407" t="str">
        <f t="shared" si="118"/>
        <v/>
      </c>
      <c r="AH187" s="408" t="str">
        <f t="shared" si="119"/>
        <v/>
      </c>
      <c r="AI187" s="404" t="str">
        <f t="shared" si="120"/>
        <v/>
      </c>
      <c r="AJ187" s="403" t="str">
        <f t="shared" si="121"/>
        <v/>
      </c>
      <c r="AK187" s="405" t="str">
        <f t="shared" si="122"/>
        <v/>
      </c>
      <c r="AL187" s="406" t="str">
        <f t="shared" si="123"/>
        <v/>
      </c>
      <c r="AM187" s="419" t="str">
        <f t="shared" si="124"/>
        <v/>
      </c>
      <c r="AN187" s="38"/>
    </row>
    <row r="188" spans="1:40" ht="12.75" x14ac:dyDescent="0.2">
      <c r="A188" s="26"/>
      <c r="B188" s="38"/>
      <c r="C188" s="296" t="s">
        <v>304</v>
      </c>
      <c r="D188" s="296" t="str">
        <f t="shared" si="99"/>
        <v/>
      </c>
      <c r="E188" s="406" t="str">
        <f t="shared" si="99"/>
        <v/>
      </c>
      <c r="F188" s="415"/>
      <c r="G188" s="415"/>
      <c r="H188" s="415"/>
      <c r="I188" s="415"/>
      <c r="J188" s="415"/>
      <c r="K188" s="415"/>
      <c r="L188" s="415"/>
      <c r="M188" s="38"/>
      <c r="N188" s="403" t="str">
        <f t="shared" si="101"/>
        <v/>
      </c>
      <c r="O188" s="404" t="str">
        <f t="shared" si="102"/>
        <v/>
      </c>
      <c r="P188" s="403" t="str">
        <f t="shared" si="126"/>
        <v/>
      </c>
      <c r="Q188" s="405" t="str">
        <f t="shared" si="103"/>
        <v/>
      </c>
      <c r="R188" s="406" t="str">
        <f t="shared" si="127"/>
        <v/>
      </c>
      <c r="S188" s="404" t="str">
        <f t="shared" si="104"/>
        <v/>
      </c>
      <c r="T188" s="403" t="str">
        <f t="shared" si="105"/>
        <v/>
      </c>
      <c r="U188" s="407" t="str">
        <f t="shared" si="106"/>
        <v/>
      </c>
      <c r="V188" s="408" t="str">
        <f t="shared" si="107"/>
        <v/>
      </c>
      <c r="W188" s="404" t="str">
        <f t="shared" si="108"/>
        <v/>
      </c>
      <c r="X188" s="403" t="str">
        <f t="shared" si="109"/>
        <v/>
      </c>
      <c r="Y188" s="405" t="str">
        <f t="shared" si="110"/>
        <v/>
      </c>
      <c r="Z188" s="406" t="str">
        <f t="shared" si="111"/>
        <v/>
      </c>
      <c r="AA188" s="404" t="str">
        <f t="shared" si="112"/>
        <v/>
      </c>
      <c r="AB188" s="403" t="str">
        <f t="shared" si="113"/>
        <v/>
      </c>
      <c r="AC188" s="405" t="str">
        <f t="shared" si="114"/>
        <v/>
      </c>
      <c r="AD188" s="406" t="str">
        <f t="shared" si="115"/>
        <v/>
      </c>
      <c r="AE188" s="404" t="str">
        <f t="shared" si="116"/>
        <v/>
      </c>
      <c r="AF188" s="403" t="str">
        <f t="shared" si="117"/>
        <v/>
      </c>
      <c r="AG188" s="407" t="str">
        <f t="shared" si="118"/>
        <v/>
      </c>
      <c r="AH188" s="408" t="str">
        <f t="shared" si="119"/>
        <v/>
      </c>
      <c r="AI188" s="404" t="str">
        <f t="shared" si="120"/>
        <v/>
      </c>
      <c r="AJ188" s="403" t="str">
        <f t="shared" si="121"/>
        <v/>
      </c>
      <c r="AK188" s="405" t="str">
        <f t="shared" si="122"/>
        <v/>
      </c>
      <c r="AL188" s="406" t="str">
        <f t="shared" si="123"/>
        <v/>
      </c>
      <c r="AM188" s="419" t="str">
        <f t="shared" si="124"/>
        <v/>
      </c>
      <c r="AN188" s="38"/>
    </row>
    <row r="189" spans="1:40" ht="12.75" x14ac:dyDescent="0.2">
      <c r="A189" s="26"/>
      <c r="B189" s="38"/>
      <c r="C189" s="296" t="s">
        <v>304</v>
      </c>
      <c r="D189" s="296" t="str">
        <f t="shared" si="99"/>
        <v/>
      </c>
      <c r="E189" s="406" t="str">
        <f t="shared" si="99"/>
        <v/>
      </c>
      <c r="F189" s="415"/>
      <c r="G189" s="415"/>
      <c r="H189" s="415"/>
      <c r="I189" s="415"/>
      <c r="J189" s="415"/>
      <c r="K189" s="415"/>
      <c r="L189" s="415"/>
      <c r="M189" s="38"/>
      <c r="N189" s="403" t="str">
        <f t="shared" si="101"/>
        <v/>
      </c>
      <c r="O189" s="404" t="str">
        <f t="shared" si="102"/>
        <v/>
      </c>
      <c r="P189" s="403" t="str">
        <f t="shared" si="126"/>
        <v/>
      </c>
      <c r="Q189" s="405" t="str">
        <f t="shared" si="103"/>
        <v/>
      </c>
      <c r="R189" s="406" t="str">
        <f t="shared" si="127"/>
        <v/>
      </c>
      <c r="S189" s="404" t="str">
        <f t="shared" si="104"/>
        <v/>
      </c>
      <c r="T189" s="403" t="str">
        <f t="shared" si="105"/>
        <v/>
      </c>
      <c r="U189" s="407" t="str">
        <f t="shared" si="106"/>
        <v/>
      </c>
      <c r="V189" s="408" t="str">
        <f t="shared" si="107"/>
        <v/>
      </c>
      <c r="W189" s="404" t="str">
        <f t="shared" si="108"/>
        <v/>
      </c>
      <c r="X189" s="403" t="str">
        <f t="shared" si="109"/>
        <v/>
      </c>
      <c r="Y189" s="405" t="str">
        <f t="shared" si="110"/>
        <v/>
      </c>
      <c r="Z189" s="406" t="str">
        <f t="shared" si="111"/>
        <v/>
      </c>
      <c r="AA189" s="404" t="str">
        <f t="shared" si="112"/>
        <v/>
      </c>
      <c r="AB189" s="403" t="str">
        <f t="shared" si="113"/>
        <v/>
      </c>
      <c r="AC189" s="405" t="str">
        <f t="shared" si="114"/>
        <v/>
      </c>
      <c r="AD189" s="406" t="str">
        <f t="shared" si="115"/>
        <v/>
      </c>
      <c r="AE189" s="404" t="str">
        <f t="shared" si="116"/>
        <v/>
      </c>
      <c r="AF189" s="403" t="str">
        <f t="shared" si="117"/>
        <v/>
      </c>
      <c r="AG189" s="407" t="str">
        <f t="shared" si="118"/>
        <v/>
      </c>
      <c r="AH189" s="408" t="str">
        <f t="shared" si="119"/>
        <v/>
      </c>
      <c r="AI189" s="404" t="str">
        <f t="shared" si="120"/>
        <v/>
      </c>
      <c r="AJ189" s="403" t="str">
        <f t="shared" si="121"/>
        <v/>
      </c>
      <c r="AK189" s="405" t="str">
        <f t="shared" si="122"/>
        <v/>
      </c>
      <c r="AL189" s="406" t="str">
        <f t="shared" si="123"/>
        <v/>
      </c>
      <c r="AM189" s="419" t="str">
        <f t="shared" si="124"/>
        <v/>
      </c>
      <c r="AN189" s="38"/>
    </row>
    <row r="190" spans="1:40" ht="12.75" x14ac:dyDescent="0.2">
      <c r="A190" s="26"/>
      <c r="B190" s="38"/>
      <c r="C190" s="296" t="s">
        <v>304</v>
      </c>
      <c r="D190" s="296" t="str">
        <f t="shared" si="99"/>
        <v/>
      </c>
      <c r="E190" s="406" t="str">
        <f t="shared" si="99"/>
        <v/>
      </c>
      <c r="F190" s="415"/>
      <c r="G190" s="415"/>
      <c r="H190" s="415"/>
      <c r="I190" s="415"/>
      <c r="J190" s="415"/>
      <c r="K190" s="415"/>
      <c r="L190" s="415"/>
      <c r="M190" s="38"/>
      <c r="N190" s="403" t="str">
        <f t="shared" si="101"/>
        <v/>
      </c>
      <c r="O190" s="404" t="str">
        <f t="shared" si="102"/>
        <v/>
      </c>
      <c r="P190" s="403" t="str">
        <f t="shared" si="126"/>
        <v/>
      </c>
      <c r="Q190" s="405" t="str">
        <f t="shared" si="103"/>
        <v/>
      </c>
      <c r="R190" s="406" t="str">
        <f t="shared" si="127"/>
        <v/>
      </c>
      <c r="S190" s="404" t="str">
        <f t="shared" si="104"/>
        <v/>
      </c>
      <c r="T190" s="403" t="str">
        <f t="shared" si="105"/>
        <v/>
      </c>
      <c r="U190" s="407" t="str">
        <f t="shared" si="106"/>
        <v/>
      </c>
      <c r="V190" s="408" t="str">
        <f t="shared" si="107"/>
        <v/>
      </c>
      <c r="W190" s="404" t="str">
        <f t="shared" si="108"/>
        <v/>
      </c>
      <c r="X190" s="403" t="str">
        <f t="shared" si="109"/>
        <v/>
      </c>
      <c r="Y190" s="405" t="str">
        <f t="shared" si="110"/>
        <v/>
      </c>
      <c r="Z190" s="406" t="str">
        <f t="shared" si="111"/>
        <v/>
      </c>
      <c r="AA190" s="404" t="str">
        <f t="shared" si="112"/>
        <v/>
      </c>
      <c r="AB190" s="403" t="str">
        <f t="shared" si="113"/>
        <v/>
      </c>
      <c r="AC190" s="405" t="str">
        <f t="shared" si="114"/>
        <v/>
      </c>
      <c r="AD190" s="406" t="str">
        <f t="shared" si="115"/>
        <v/>
      </c>
      <c r="AE190" s="404" t="str">
        <f t="shared" si="116"/>
        <v/>
      </c>
      <c r="AF190" s="403" t="str">
        <f t="shared" si="117"/>
        <v/>
      </c>
      <c r="AG190" s="407" t="str">
        <f t="shared" si="118"/>
        <v/>
      </c>
      <c r="AH190" s="408" t="str">
        <f t="shared" si="119"/>
        <v/>
      </c>
      <c r="AI190" s="404" t="str">
        <f t="shared" si="120"/>
        <v/>
      </c>
      <c r="AJ190" s="403" t="str">
        <f t="shared" si="121"/>
        <v/>
      </c>
      <c r="AK190" s="405" t="str">
        <f t="shared" si="122"/>
        <v/>
      </c>
      <c r="AL190" s="406" t="str">
        <f t="shared" si="123"/>
        <v/>
      </c>
      <c r="AM190" s="419" t="str">
        <f t="shared" si="124"/>
        <v/>
      </c>
      <c r="AN190" s="38"/>
    </row>
    <row r="191" spans="1:40" ht="12.75" x14ac:dyDescent="0.2">
      <c r="A191" s="26"/>
      <c r="B191" s="38"/>
      <c r="C191" s="296" t="s">
        <v>304</v>
      </c>
      <c r="D191" s="296" t="str">
        <f t="shared" si="99"/>
        <v/>
      </c>
      <c r="E191" s="406" t="str">
        <f t="shared" si="99"/>
        <v/>
      </c>
      <c r="F191" s="415"/>
      <c r="G191" s="415"/>
      <c r="H191" s="415"/>
      <c r="I191" s="415"/>
      <c r="J191" s="415"/>
      <c r="K191" s="415"/>
      <c r="L191" s="415"/>
      <c r="M191" s="38"/>
      <c r="N191" s="403" t="str">
        <f t="shared" si="101"/>
        <v/>
      </c>
      <c r="O191" s="404" t="str">
        <f t="shared" si="102"/>
        <v/>
      </c>
      <c r="P191" s="403" t="str">
        <f t="shared" si="126"/>
        <v/>
      </c>
      <c r="Q191" s="405" t="str">
        <f t="shared" si="103"/>
        <v/>
      </c>
      <c r="R191" s="406" t="str">
        <f t="shared" si="127"/>
        <v/>
      </c>
      <c r="S191" s="404" t="str">
        <f t="shared" si="104"/>
        <v/>
      </c>
      <c r="T191" s="403" t="str">
        <f t="shared" si="105"/>
        <v/>
      </c>
      <c r="U191" s="407" t="str">
        <f t="shared" si="106"/>
        <v/>
      </c>
      <c r="V191" s="408" t="str">
        <f t="shared" si="107"/>
        <v/>
      </c>
      <c r="W191" s="404" t="str">
        <f t="shared" si="108"/>
        <v/>
      </c>
      <c r="X191" s="403" t="str">
        <f t="shared" si="109"/>
        <v/>
      </c>
      <c r="Y191" s="405" t="str">
        <f t="shared" si="110"/>
        <v/>
      </c>
      <c r="Z191" s="406" t="str">
        <f t="shared" si="111"/>
        <v/>
      </c>
      <c r="AA191" s="404" t="str">
        <f t="shared" si="112"/>
        <v/>
      </c>
      <c r="AB191" s="403" t="str">
        <f t="shared" si="113"/>
        <v/>
      </c>
      <c r="AC191" s="405" t="str">
        <f t="shared" si="114"/>
        <v/>
      </c>
      <c r="AD191" s="406" t="str">
        <f t="shared" si="115"/>
        <v/>
      </c>
      <c r="AE191" s="404" t="str">
        <f t="shared" si="116"/>
        <v/>
      </c>
      <c r="AF191" s="403" t="str">
        <f t="shared" si="117"/>
        <v/>
      </c>
      <c r="AG191" s="407" t="str">
        <f t="shared" si="118"/>
        <v/>
      </c>
      <c r="AH191" s="408" t="str">
        <f t="shared" si="119"/>
        <v/>
      </c>
      <c r="AI191" s="404" t="str">
        <f t="shared" si="120"/>
        <v/>
      </c>
      <c r="AJ191" s="403" t="str">
        <f t="shared" si="121"/>
        <v/>
      </c>
      <c r="AK191" s="405" t="str">
        <f t="shared" si="122"/>
        <v/>
      </c>
      <c r="AL191" s="406" t="str">
        <f t="shared" si="123"/>
        <v/>
      </c>
      <c r="AM191" s="419" t="str">
        <f t="shared" si="124"/>
        <v/>
      </c>
      <c r="AN191" s="38"/>
    </row>
    <row r="192" spans="1:40" ht="12.75" x14ac:dyDescent="0.2">
      <c r="A192" s="26"/>
      <c r="B192" s="38"/>
      <c r="C192" s="296" t="s">
        <v>304</v>
      </c>
      <c r="D192" s="296" t="str">
        <f t="shared" si="99"/>
        <v/>
      </c>
      <c r="E192" s="406" t="str">
        <f t="shared" si="99"/>
        <v/>
      </c>
      <c r="F192" s="415"/>
      <c r="G192" s="415"/>
      <c r="H192" s="415"/>
      <c r="I192" s="415"/>
      <c r="J192" s="415"/>
      <c r="K192" s="415"/>
      <c r="L192" s="415"/>
      <c r="M192" s="38"/>
      <c r="N192" s="403" t="str">
        <f t="shared" si="101"/>
        <v/>
      </c>
      <c r="O192" s="404" t="str">
        <f t="shared" si="102"/>
        <v/>
      </c>
      <c r="P192" s="403" t="str">
        <f t="shared" si="126"/>
        <v/>
      </c>
      <c r="Q192" s="405" t="str">
        <f t="shared" si="103"/>
        <v/>
      </c>
      <c r="R192" s="406" t="str">
        <f t="shared" si="127"/>
        <v/>
      </c>
      <c r="S192" s="404" t="str">
        <f t="shared" si="104"/>
        <v/>
      </c>
      <c r="T192" s="403" t="str">
        <f t="shared" si="105"/>
        <v/>
      </c>
      <c r="U192" s="407" t="str">
        <f t="shared" si="106"/>
        <v/>
      </c>
      <c r="V192" s="408" t="str">
        <f t="shared" si="107"/>
        <v/>
      </c>
      <c r="W192" s="404" t="str">
        <f t="shared" si="108"/>
        <v/>
      </c>
      <c r="X192" s="403" t="str">
        <f t="shared" si="109"/>
        <v/>
      </c>
      <c r="Y192" s="405" t="str">
        <f t="shared" si="110"/>
        <v/>
      </c>
      <c r="Z192" s="406" t="str">
        <f t="shared" si="111"/>
        <v/>
      </c>
      <c r="AA192" s="404" t="str">
        <f t="shared" si="112"/>
        <v/>
      </c>
      <c r="AB192" s="403" t="str">
        <f t="shared" si="113"/>
        <v/>
      </c>
      <c r="AC192" s="405" t="str">
        <f t="shared" si="114"/>
        <v/>
      </c>
      <c r="AD192" s="406" t="str">
        <f t="shared" si="115"/>
        <v/>
      </c>
      <c r="AE192" s="404" t="str">
        <f t="shared" si="116"/>
        <v/>
      </c>
      <c r="AF192" s="403" t="str">
        <f t="shared" si="117"/>
        <v/>
      </c>
      <c r="AG192" s="407" t="str">
        <f t="shared" si="118"/>
        <v/>
      </c>
      <c r="AH192" s="408" t="str">
        <f t="shared" si="119"/>
        <v/>
      </c>
      <c r="AI192" s="404" t="str">
        <f t="shared" si="120"/>
        <v/>
      </c>
      <c r="AJ192" s="403" t="str">
        <f t="shared" si="121"/>
        <v/>
      </c>
      <c r="AK192" s="405" t="str">
        <f t="shared" si="122"/>
        <v/>
      </c>
      <c r="AL192" s="406" t="str">
        <f t="shared" si="123"/>
        <v/>
      </c>
      <c r="AM192" s="419" t="str">
        <f t="shared" si="124"/>
        <v/>
      </c>
      <c r="AN192" s="38"/>
    </row>
    <row r="193" spans="1:40" ht="12.75" x14ac:dyDescent="0.2">
      <c r="A193" s="26"/>
      <c r="B193" s="38"/>
      <c r="C193" s="296" t="s">
        <v>304</v>
      </c>
      <c r="D193" s="296" t="str">
        <f t="shared" si="99"/>
        <v/>
      </c>
      <c r="E193" s="406" t="str">
        <f t="shared" si="99"/>
        <v/>
      </c>
      <c r="F193" s="415"/>
      <c r="G193" s="415"/>
      <c r="H193" s="415"/>
      <c r="I193" s="415"/>
      <c r="J193" s="415"/>
      <c r="K193" s="415"/>
      <c r="L193" s="415"/>
      <c r="M193" s="38"/>
      <c r="N193" s="403" t="str">
        <f t="shared" si="101"/>
        <v/>
      </c>
      <c r="O193" s="404" t="str">
        <f t="shared" si="102"/>
        <v/>
      </c>
      <c r="P193" s="403" t="str">
        <f t="shared" si="126"/>
        <v/>
      </c>
      <c r="Q193" s="405" t="str">
        <f t="shared" si="103"/>
        <v/>
      </c>
      <c r="R193" s="406" t="str">
        <f t="shared" si="127"/>
        <v/>
      </c>
      <c r="S193" s="404" t="str">
        <f t="shared" si="104"/>
        <v/>
      </c>
      <c r="T193" s="403" t="str">
        <f t="shared" si="105"/>
        <v/>
      </c>
      <c r="U193" s="407" t="str">
        <f t="shared" si="106"/>
        <v/>
      </c>
      <c r="V193" s="408" t="str">
        <f t="shared" si="107"/>
        <v/>
      </c>
      <c r="W193" s="404" t="str">
        <f t="shared" si="108"/>
        <v/>
      </c>
      <c r="X193" s="403" t="str">
        <f t="shared" si="109"/>
        <v/>
      </c>
      <c r="Y193" s="405" t="str">
        <f t="shared" si="110"/>
        <v/>
      </c>
      <c r="Z193" s="406" t="str">
        <f t="shared" si="111"/>
        <v/>
      </c>
      <c r="AA193" s="404" t="str">
        <f t="shared" si="112"/>
        <v/>
      </c>
      <c r="AB193" s="403" t="str">
        <f t="shared" si="113"/>
        <v/>
      </c>
      <c r="AC193" s="405" t="str">
        <f t="shared" si="114"/>
        <v/>
      </c>
      <c r="AD193" s="406" t="str">
        <f t="shared" si="115"/>
        <v/>
      </c>
      <c r="AE193" s="404" t="str">
        <f t="shared" si="116"/>
        <v/>
      </c>
      <c r="AF193" s="403" t="str">
        <f t="shared" si="117"/>
        <v/>
      </c>
      <c r="AG193" s="407" t="str">
        <f t="shared" si="118"/>
        <v/>
      </c>
      <c r="AH193" s="408" t="str">
        <f t="shared" si="119"/>
        <v/>
      </c>
      <c r="AI193" s="404" t="str">
        <f t="shared" si="120"/>
        <v/>
      </c>
      <c r="AJ193" s="403" t="str">
        <f t="shared" si="121"/>
        <v/>
      </c>
      <c r="AK193" s="405" t="str">
        <f t="shared" si="122"/>
        <v/>
      </c>
      <c r="AL193" s="406" t="str">
        <f t="shared" si="123"/>
        <v/>
      </c>
      <c r="AM193" s="419" t="str">
        <f t="shared" si="124"/>
        <v/>
      </c>
      <c r="AN193" s="38"/>
    </row>
    <row r="194" spans="1:40" ht="12.75" x14ac:dyDescent="0.2">
      <c r="A194" s="26"/>
      <c r="B194" s="38"/>
      <c r="C194" s="296" t="s">
        <v>304</v>
      </c>
      <c r="D194" s="296" t="str">
        <f t="shared" si="99"/>
        <v/>
      </c>
      <c r="E194" s="406" t="str">
        <f t="shared" si="99"/>
        <v/>
      </c>
      <c r="F194" s="415"/>
      <c r="G194" s="415"/>
      <c r="H194" s="415"/>
      <c r="I194" s="415"/>
      <c r="J194" s="415"/>
      <c r="K194" s="415"/>
      <c r="L194" s="415"/>
      <c r="M194" s="38"/>
      <c r="N194" s="403" t="str">
        <f t="shared" si="101"/>
        <v/>
      </c>
      <c r="O194" s="404" t="str">
        <f t="shared" si="102"/>
        <v/>
      </c>
      <c r="P194" s="403" t="str">
        <f t="shared" si="126"/>
        <v/>
      </c>
      <c r="Q194" s="405" t="str">
        <f t="shared" si="103"/>
        <v/>
      </c>
      <c r="R194" s="406" t="str">
        <f t="shared" si="127"/>
        <v/>
      </c>
      <c r="S194" s="404" t="str">
        <f t="shared" si="104"/>
        <v/>
      </c>
      <c r="T194" s="403" t="str">
        <f t="shared" si="105"/>
        <v/>
      </c>
      <c r="U194" s="407" t="str">
        <f t="shared" si="106"/>
        <v/>
      </c>
      <c r="V194" s="408" t="str">
        <f t="shared" si="107"/>
        <v/>
      </c>
      <c r="W194" s="404" t="str">
        <f t="shared" si="108"/>
        <v/>
      </c>
      <c r="X194" s="403" t="str">
        <f t="shared" si="109"/>
        <v/>
      </c>
      <c r="Y194" s="405" t="str">
        <f t="shared" si="110"/>
        <v/>
      </c>
      <c r="Z194" s="406" t="str">
        <f t="shared" si="111"/>
        <v/>
      </c>
      <c r="AA194" s="404" t="str">
        <f t="shared" si="112"/>
        <v/>
      </c>
      <c r="AB194" s="403" t="str">
        <f t="shared" si="113"/>
        <v/>
      </c>
      <c r="AC194" s="405" t="str">
        <f t="shared" si="114"/>
        <v/>
      </c>
      <c r="AD194" s="406" t="str">
        <f t="shared" si="115"/>
        <v/>
      </c>
      <c r="AE194" s="404" t="str">
        <f t="shared" si="116"/>
        <v/>
      </c>
      <c r="AF194" s="403" t="str">
        <f t="shared" si="117"/>
        <v/>
      </c>
      <c r="AG194" s="407" t="str">
        <f t="shared" si="118"/>
        <v/>
      </c>
      <c r="AH194" s="408" t="str">
        <f t="shared" si="119"/>
        <v/>
      </c>
      <c r="AI194" s="404" t="str">
        <f t="shared" si="120"/>
        <v/>
      </c>
      <c r="AJ194" s="403" t="str">
        <f t="shared" si="121"/>
        <v/>
      </c>
      <c r="AK194" s="405" t="str">
        <f t="shared" si="122"/>
        <v/>
      </c>
      <c r="AL194" s="406" t="str">
        <f t="shared" si="123"/>
        <v/>
      </c>
      <c r="AM194" s="419" t="str">
        <f t="shared" si="124"/>
        <v/>
      </c>
      <c r="AN194" s="38"/>
    </row>
    <row r="195" spans="1:40" ht="12.75" x14ac:dyDescent="0.2">
      <c r="A195" s="26"/>
      <c r="B195" s="38"/>
      <c r="C195" s="296" t="s">
        <v>304</v>
      </c>
      <c r="D195" s="296" t="str">
        <f t="shared" si="99"/>
        <v/>
      </c>
      <c r="E195" s="406" t="str">
        <f t="shared" si="99"/>
        <v/>
      </c>
      <c r="F195" s="415"/>
      <c r="G195" s="415"/>
      <c r="H195" s="415"/>
      <c r="I195" s="415"/>
      <c r="J195" s="415"/>
      <c r="K195" s="415"/>
      <c r="L195" s="415"/>
      <c r="M195" s="38"/>
      <c r="N195" s="403" t="str">
        <f t="shared" si="101"/>
        <v/>
      </c>
      <c r="O195" s="404" t="str">
        <f t="shared" si="102"/>
        <v/>
      </c>
      <c r="P195" s="403" t="str">
        <f t="shared" si="126"/>
        <v/>
      </c>
      <c r="Q195" s="405" t="str">
        <f t="shared" si="103"/>
        <v/>
      </c>
      <c r="R195" s="406" t="str">
        <f t="shared" si="127"/>
        <v/>
      </c>
      <c r="S195" s="404" t="str">
        <f t="shared" si="104"/>
        <v/>
      </c>
      <c r="T195" s="403" t="str">
        <f t="shared" si="105"/>
        <v/>
      </c>
      <c r="U195" s="407" t="str">
        <f t="shared" si="106"/>
        <v/>
      </c>
      <c r="V195" s="408" t="str">
        <f t="shared" si="107"/>
        <v/>
      </c>
      <c r="W195" s="404" t="str">
        <f t="shared" si="108"/>
        <v/>
      </c>
      <c r="X195" s="403" t="str">
        <f t="shared" si="109"/>
        <v/>
      </c>
      <c r="Y195" s="405" t="str">
        <f t="shared" si="110"/>
        <v/>
      </c>
      <c r="Z195" s="406" t="str">
        <f t="shared" si="111"/>
        <v/>
      </c>
      <c r="AA195" s="404" t="str">
        <f t="shared" si="112"/>
        <v/>
      </c>
      <c r="AB195" s="403" t="str">
        <f t="shared" si="113"/>
        <v/>
      </c>
      <c r="AC195" s="405" t="str">
        <f t="shared" si="114"/>
        <v/>
      </c>
      <c r="AD195" s="406" t="str">
        <f t="shared" si="115"/>
        <v/>
      </c>
      <c r="AE195" s="404" t="str">
        <f t="shared" si="116"/>
        <v/>
      </c>
      <c r="AF195" s="403" t="str">
        <f t="shared" si="117"/>
        <v/>
      </c>
      <c r="AG195" s="407" t="str">
        <f t="shared" si="118"/>
        <v/>
      </c>
      <c r="AH195" s="408" t="str">
        <f t="shared" si="119"/>
        <v/>
      </c>
      <c r="AI195" s="404" t="str">
        <f t="shared" si="120"/>
        <v/>
      </c>
      <c r="AJ195" s="403" t="str">
        <f t="shared" si="121"/>
        <v/>
      </c>
      <c r="AK195" s="405" t="str">
        <f t="shared" si="122"/>
        <v/>
      </c>
      <c r="AL195" s="406" t="str">
        <f t="shared" si="123"/>
        <v/>
      </c>
      <c r="AM195" s="419" t="str">
        <f t="shared" si="124"/>
        <v/>
      </c>
      <c r="AN195" s="38"/>
    </row>
    <row r="196" spans="1:40" ht="12.75" x14ac:dyDescent="0.2">
      <c r="A196" s="26"/>
      <c r="B196" s="38"/>
      <c r="C196" s="296" t="s">
        <v>304</v>
      </c>
      <c r="D196" s="296" t="str">
        <f t="shared" si="99"/>
        <v/>
      </c>
      <c r="E196" s="406" t="str">
        <f t="shared" si="99"/>
        <v/>
      </c>
      <c r="F196" s="415"/>
      <c r="G196" s="415"/>
      <c r="H196" s="415"/>
      <c r="I196" s="415"/>
      <c r="J196" s="415"/>
      <c r="K196" s="415"/>
      <c r="L196" s="415"/>
      <c r="M196" s="38"/>
      <c r="N196" s="403" t="str">
        <f t="shared" si="101"/>
        <v/>
      </c>
      <c r="O196" s="404" t="str">
        <f t="shared" si="102"/>
        <v/>
      </c>
      <c r="P196" s="403" t="str">
        <f t="shared" si="126"/>
        <v/>
      </c>
      <c r="Q196" s="405" t="str">
        <f t="shared" si="103"/>
        <v/>
      </c>
      <c r="R196" s="406" t="str">
        <f t="shared" si="127"/>
        <v/>
      </c>
      <c r="S196" s="404" t="str">
        <f t="shared" si="104"/>
        <v/>
      </c>
      <c r="T196" s="403" t="str">
        <f t="shared" si="105"/>
        <v/>
      </c>
      <c r="U196" s="407" t="str">
        <f t="shared" si="106"/>
        <v/>
      </c>
      <c r="V196" s="408" t="str">
        <f t="shared" si="107"/>
        <v/>
      </c>
      <c r="W196" s="404" t="str">
        <f t="shared" si="108"/>
        <v/>
      </c>
      <c r="X196" s="403" t="str">
        <f t="shared" si="109"/>
        <v/>
      </c>
      <c r="Y196" s="405" t="str">
        <f t="shared" si="110"/>
        <v/>
      </c>
      <c r="Z196" s="406" t="str">
        <f t="shared" si="111"/>
        <v/>
      </c>
      <c r="AA196" s="404" t="str">
        <f t="shared" si="112"/>
        <v/>
      </c>
      <c r="AB196" s="403" t="str">
        <f t="shared" si="113"/>
        <v/>
      </c>
      <c r="AC196" s="405" t="str">
        <f t="shared" si="114"/>
        <v/>
      </c>
      <c r="AD196" s="406" t="str">
        <f t="shared" si="115"/>
        <v/>
      </c>
      <c r="AE196" s="404" t="str">
        <f t="shared" si="116"/>
        <v/>
      </c>
      <c r="AF196" s="403" t="str">
        <f t="shared" si="117"/>
        <v/>
      </c>
      <c r="AG196" s="407" t="str">
        <f t="shared" si="118"/>
        <v/>
      </c>
      <c r="AH196" s="408" t="str">
        <f t="shared" si="119"/>
        <v/>
      </c>
      <c r="AI196" s="404" t="str">
        <f t="shared" si="120"/>
        <v/>
      </c>
      <c r="AJ196" s="403" t="str">
        <f t="shared" si="121"/>
        <v/>
      </c>
      <c r="AK196" s="405" t="str">
        <f t="shared" si="122"/>
        <v/>
      </c>
      <c r="AL196" s="406" t="str">
        <f t="shared" si="123"/>
        <v/>
      </c>
      <c r="AM196" s="419" t="str">
        <f t="shared" si="124"/>
        <v/>
      </c>
      <c r="AN196" s="38"/>
    </row>
    <row r="197" spans="1:40" ht="12.75" x14ac:dyDescent="0.2">
      <c r="A197" s="26"/>
      <c r="B197" s="38"/>
      <c r="C197" s="296" t="s">
        <v>304</v>
      </c>
      <c r="D197" s="296" t="str">
        <f t="shared" si="99"/>
        <v/>
      </c>
      <c r="E197" s="406" t="str">
        <f t="shared" si="99"/>
        <v/>
      </c>
      <c r="F197" s="415"/>
      <c r="G197" s="415"/>
      <c r="H197" s="415"/>
      <c r="I197" s="415"/>
      <c r="J197" s="415"/>
      <c r="K197" s="415"/>
      <c r="L197" s="415"/>
      <c r="M197" s="38"/>
      <c r="N197" s="403" t="str">
        <f t="shared" si="101"/>
        <v/>
      </c>
      <c r="O197" s="404" t="str">
        <f t="shared" si="102"/>
        <v/>
      </c>
      <c r="P197" s="403" t="str">
        <f t="shared" si="126"/>
        <v/>
      </c>
      <c r="Q197" s="405" t="str">
        <f t="shared" si="103"/>
        <v/>
      </c>
      <c r="R197" s="406" t="str">
        <f t="shared" si="127"/>
        <v/>
      </c>
      <c r="S197" s="404" t="str">
        <f t="shared" si="104"/>
        <v/>
      </c>
      <c r="T197" s="403" t="str">
        <f t="shared" si="105"/>
        <v/>
      </c>
      <c r="U197" s="407" t="str">
        <f t="shared" si="106"/>
        <v/>
      </c>
      <c r="V197" s="408" t="str">
        <f t="shared" si="107"/>
        <v/>
      </c>
      <c r="W197" s="404" t="str">
        <f t="shared" si="108"/>
        <v/>
      </c>
      <c r="X197" s="403" t="str">
        <f t="shared" si="109"/>
        <v/>
      </c>
      <c r="Y197" s="405" t="str">
        <f t="shared" si="110"/>
        <v/>
      </c>
      <c r="Z197" s="406" t="str">
        <f t="shared" si="111"/>
        <v/>
      </c>
      <c r="AA197" s="404" t="str">
        <f t="shared" si="112"/>
        <v/>
      </c>
      <c r="AB197" s="403" t="str">
        <f t="shared" si="113"/>
        <v/>
      </c>
      <c r="AC197" s="405" t="str">
        <f t="shared" si="114"/>
        <v/>
      </c>
      <c r="AD197" s="406" t="str">
        <f t="shared" si="115"/>
        <v/>
      </c>
      <c r="AE197" s="404" t="str">
        <f t="shared" si="116"/>
        <v/>
      </c>
      <c r="AF197" s="403" t="str">
        <f t="shared" si="117"/>
        <v/>
      </c>
      <c r="AG197" s="407" t="str">
        <f t="shared" si="118"/>
        <v/>
      </c>
      <c r="AH197" s="408" t="str">
        <f t="shared" si="119"/>
        <v/>
      </c>
      <c r="AI197" s="404" t="str">
        <f t="shared" si="120"/>
        <v/>
      </c>
      <c r="AJ197" s="403" t="str">
        <f t="shared" si="121"/>
        <v/>
      </c>
      <c r="AK197" s="405" t="str">
        <f t="shared" si="122"/>
        <v/>
      </c>
      <c r="AL197" s="406" t="str">
        <f t="shared" si="123"/>
        <v/>
      </c>
      <c r="AM197" s="419" t="str">
        <f t="shared" si="124"/>
        <v/>
      </c>
      <c r="AN197" s="38"/>
    </row>
    <row r="198" spans="1:40" ht="12.75" x14ac:dyDescent="0.2">
      <c r="A198" s="26"/>
      <c r="B198" s="38"/>
      <c r="C198" s="296" t="s">
        <v>304</v>
      </c>
      <c r="D198" s="296" t="str">
        <f t="shared" si="99"/>
        <v/>
      </c>
      <c r="E198" s="406" t="str">
        <f t="shared" si="99"/>
        <v/>
      </c>
      <c r="F198" s="415"/>
      <c r="G198" s="415"/>
      <c r="H198" s="415"/>
      <c r="I198" s="415"/>
      <c r="J198" s="415"/>
      <c r="K198" s="415"/>
      <c r="L198" s="415"/>
      <c r="M198" s="38"/>
      <c r="N198" s="403" t="str">
        <f t="shared" si="101"/>
        <v/>
      </c>
      <c r="O198" s="404" t="str">
        <f t="shared" si="102"/>
        <v/>
      </c>
      <c r="P198" s="403" t="str">
        <f t="shared" si="126"/>
        <v/>
      </c>
      <c r="Q198" s="405" t="str">
        <f t="shared" si="103"/>
        <v/>
      </c>
      <c r="R198" s="406" t="str">
        <f t="shared" si="127"/>
        <v/>
      </c>
      <c r="S198" s="404" t="str">
        <f t="shared" si="104"/>
        <v/>
      </c>
      <c r="T198" s="403" t="str">
        <f t="shared" si="105"/>
        <v/>
      </c>
      <c r="U198" s="407" t="str">
        <f t="shared" si="106"/>
        <v/>
      </c>
      <c r="V198" s="408" t="str">
        <f t="shared" si="107"/>
        <v/>
      </c>
      <c r="W198" s="404" t="str">
        <f t="shared" si="108"/>
        <v/>
      </c>
      <c r="X198" s="403" t="str">
        <f t="shared" si="109"/>
        <v/>
      </c>
      <c r="Y198" s="405" t="str">
        <f t="shared" si="110"/>
        <v/>
      </c>
      <c r="Z198" s="406" t="str">
        <f t="shared" si="111"/>
        <v/>
      </c>
      <c r="AA198" s="404" t="str">
        <f t="shared" si="112"/>
        <v/>
      </c>
      <c r="AB198" s="403" t="str">
        <f t="shared" si="113"/>
        <v/>
      </c>
      <c r="AC198" s="405" t="str">
        <f t="shared" si="114"/>
        <v/>
      </c>
      <c r="AD198" s="406" t="str">
        <f t="shared" si="115"/>
        <v/>
      </c>
      <c r="AE198" s="404" t="str">
        <f t="shared" si="116"/>
        <v/>
      </c>
      <c r="AF198" s="403" t="str">
        <f t="shared" si="117"/>
        <v/>
      </c>
      <c r="AG198" s="407" t="str">
        <f t="shared" si="118"/>
        <v/>
      </c>
      <c r="AH198" s="408" t="str">
        <f t="shared" si="119"/>
        <v/>
      </c>
      <c r="AI198" s="404" t="str">
        <f t="shared" si="120"/>
        <v/>
      </c>
      <c r="AJ198" s="403" t="str">
        <f t="shared" si="121"/>
        <v/>
      </c>
      <c r="AK198" s="405" t="str">
        <f t="shared" si="122"/>
        <v/>
      </c>
      <c r="AL198" s="406" t="str">
        <f t="shared" si="123"/>
        <v/>
      </c>
      <c r="AM198" s="419" t="str">
        <f t="shared" si="124"/>
        <v/>
      </c>
      <c r="AN198" s="38"/>
    </row>
    <row r="199" spans="1:40" ht="12.75" x14ac:dyDescent="0.2">
      <c r="A199" s="26"/>
      <c r="B199" s="38"/>
      <c r="C199" s="296" t="s">
        <v>304</v>
      </c>
      <c r="D199" s="296" t="str">
        <f t="shared" si="99"/>
        <v/>
      </c>
      <c r="E199" s="406" t="str">
        <f t="shared" si="99"/>
        <v/>
      </c>
      <c r="F199" s="415"/>
      <c r="G199" s="415"/>
      <c r="H199" s="415"/>
      <c r="I199" s="415"/>
      <c r="J199" s="415"/>
      <c r="K199" s="415"/>
      <c r="L199" s="415"/>
      <c r="M199" s="38"/>
      <c r="N199" s="403" t="str">
        <f t="shared" si="101"/>
        <v/>
      </c>
      <c r="O199" s="404" t="str">
        <f t="shared" si="102"/>
        <v/>
      </c>
      <c r="P199" s="403" t="str">
        <f t="shared" si="126"/>
        <v/>
      </c>
      <c r="Q199" s="405" t="str">
        <f t="shared" si="103"/>
        <v/>
      </c>
      <c r="R199" s="406" t="str">
        <f t="shared" si="127"/>
        <v/>
      </c>
      <c r="S199" s="404" t="str">
        <f t="shared" si="104"/>
        <v/>
      </c>
      <c r="T199" s="403" t="str">
        <f t="shared" si="105"/>
        <v/>
      </c>
      <c r="U199" s="407" t="str">
        <f t="shared" si="106"/>
        <v/>
      </c>
      <c r="V199" s="408" t="str">
        <f t="shared" si="107"/>
        <v/>
      </c>
      <c r="W199" s="404" t="str">
        <f t="shared" si="108"/>
        <v/>
      </c>
      <c r="X199" s="403" t="str">
        <f t="shared" si="109"/>
        <v/>
      </c>
      <c r="Y199" s="405" t="str">
        <f t="shared" si="110"/>
        <v/>
      </c>
      <c r="Z199" s="406" t="str">
        <f t="shared" si="111"/>
        <v/>
      </c>
      <c r="AA199" s="404" t="str">
        <f t="shared" si="112"/>
        <v/>
      </c>
      <c r="AB199" s="403" t="str">
        <f t="shared" si="113"/>
        <v/>
      </c>
      <c r="AC199" s="405" t="str">
        <f t="shared" si="114"/>
        <v/>
      </c>
      <c r="AD199" s="406" t="str">
        <f t="shared" si="115"/>
        <v/>
      </c>
      <c r="AE199" s="404" t="str">
        <f t="shared" si="116"/>
        <v/>
      </c>
      <c r="AF199" s="403" t="str">
        <f t="shared" si="117"/>
        <v/>
      </c>
      <c r="AG199" s="407" t="str">
        <f t="shared" si="118"/>
        <v/>
      </c>
      <c r="AH199" s="408" t="str">
        <f t="shared" si="119"/>
        <v/>
      </c>
      <c r="AI199" s="404" t="str">
        <f t="shared" si="120"/>
        <v/>
      </c>
      <c r="AJ199" s="403" t="str">
        <f t="shared" si="121"/>
        <v/>
      </c>
      <c r="AK199" s="405" t="str">
        <f t="shared" si="122"/>
        <v/>
      </c>
      <c r="AL199" s="406" t="str">
        <f t="shared" si="123"/>
        <v/>
      </c>
      <c r="AM199" s="419" t="str">
        <f t="shared" si="124"/>
        <v/>
      </c>
      <c r="AN199" s="38"/>
    </row>
    <row r="200" spans="1:40" ht="12.75" x14ac:dyDescent="0.2">
      <c r="A200" s="26"/>
      <c r="B200" s="38"/>
      <c r="C200" s="296" t="s">
        <v>304</v>
      </c>
      <c r="D200" s="296" t="str">
        <f t="shared" si="99"/>
        <v/>
      </c>
      <c r="E200" s="406" t="str">
        <f t="shared" si="99"/>
        <v/>
      </c>
      <c r="F200" s="415"/>
      <c r="G200" s="415"/>
      <c r="H200" s="415"/>
      <c r="I200" s="415"/>
      <c r="J200" s="415"/>
      <c r="K200" s="415"/>
      <c r="L200" s="415"/>
      <c r="M200" s="38"/>
      <c r="N200" s="403" t="str">
        <f t="shared" si="101"/>
        <v/>
      </c>
      <c r="O200" s="404" t="str">
        <f t="shared" si="102"/>
        <v/>
      </c>
      <c r="P200" s="403" t="str">
        <f t="shared" si="126"/>
        <v/>
      </c>
      <c r="Q200" s="405" t="str">
        <f t="shared" si="103"/>
        <v/>
      </c>
      <c r="R200" s="406" t="str">
        <f t="shared" si="127"/>
        <v/>
      </c>
      <c r="S200" s="404" t="str">
        <f t="shared" si="104"/>
        <v/>
      </c>
      <c r="T200" s="403" t="str">
        <f t="shared" si="105"/>
        <v/>
      </c>
      <c r="U200" s="407" t="str">
        <f t="shared" si="106"/>
        <v/>
      </c>
      <c r="V200" s="408" t="str">
        <f t="shared" si="107"/>
        <v/>
      </c>
      <c r="W200" s="404" t="str">
        <f t="shared" si="108"/>
        <v/>
      </c>
      <c r="X200" s="403" t="str">
        <f t="shared" si="109"/>
        <v/>
      </c>
      <c r="Y200" s="405" t="str">
        <f t="shared" si="110"/>
        <v/>
      </c>
      <c r="Z200" s="406" t="str">
        <f t="shared" si="111"/>
        <v/>
      </c>
      <c r="AA200" s="404" t="str">
        <f t="shared" si="112"/>
        <v/>
      </c>
      <c r="AB200" s="403" t="str">
        <f t="shared" si="113"/>
        <v/>
      </c>
      <c r="AC200" s="405" t="str">
        <f t="shared" si="114"/>
        <v/>
      </c>
      <c r="AD200" s="406" t="str">
        <f t="shared" si="115"/>
        <v/>
      </c>
      <c r="AE200" s="404" t="str">
        <f t="shared" si="116"/>
        <v/>
      </c>
      <c r="AF200" s="403" t="str">
        <f t="shared" si="117"/>
        <v/>
      </c>
      <c r="AG200" s="407" t="str">
        <f t="shared" si="118"/>
        <v/>
      </c>
      <c r="AH200" s="408" t="str">
        <f t="shared" si="119"/>
        <v/>
      </c>
      <c r="AI200" s="404" t="str">
        <f t="shared" si="120"/>
        <v/>
      </c>
      <c r="AJ200" s="403" t="str">
        <f t="shared" si="121"/>
        <v/>
      </c>
      <c r="AK200" s="405" t="str">
        <f t="shared" si="122"/>
        <v/>
      </c>
      <c r="AL200" s="406" t="str">
        <f t="shared" si="123"/>
        <v/>
      </c>
      <c r="AM200" s="419" t="str">
        <f t="shared" si="124"/>
        <v/>
      </c>
      <c r="AN200" s="38"/>
    </row>
    <row r="201" spans="1:40" ht="12.75" x14ac:dyDescent="0.2">
      <c r="A201" s="26"/>
      <c r="B201" s="38"/>
      <c r="C201" s="296" t="s">
        <v>304</v>
      </c>
      <c r="D201" s="296" t="str">
        <f t="shared" si="99"/>
        <v/>
      </c>
      <c r="E201" s="406" t="str">
        <f t="shared" si="99"/>
        <v/>
      </c>
      <c r="F201" s="415"/>
      <c r="G201" s="415"/>
      <c r="H201" s="415"/>
      <c r="I201" s="415"/>
      <c r="J201" s="415"/>
      <c r="K201" s="415"/>
      <c r="L201" s="415"/>
      <c r="M201" s="38"/>
      <c r="N201" s="403" t="str">
        <f t="shared" si="101"/>
        <v/>
      </c>
      <c r="O201" s="404" t="str">
        <f t="shared" si="102"/>
        <v/>
      </c>
      <c r="P201" s="403" t="str">
        <f t="shared" si="126"/>
        <v/>
      </c>
      <c r="Q201" s="405" t="str">
        <f t="shared" si="103"/>
        <v/>
      </c>
      <c r="R201" s="406" t="str">
        <f t="shared" si="127"/>
        <v/>
      </c>
      <c r="S201" s="404" t="str">
        <f t="shared" si="104"/>
        <v/>
      </c>
      <c r="T201" s="403" t="str">
        <f t="shared" si="105"/>
        <v/>
      </c>
      <c r="U201" s="407" t="str">
        <f t="shared" si="106"/>
        <v/>
      </c>
      <c r="V201" s="408" t="str">
        <f t="shared" si="107"/>
        <v/>
      </c>
      <c r="W201" s="404" t="str">
        <f t="shared" si="108"/>
        <v/>
      </c>
      <c r="X201" s="403" t="str">
        <f t="shared" si="109"/>
        <v/>
      </c>
      <c r="Y201" s="405" t="str">
        <f t="shared" si="110"/>
        <v/>
      </c>
      <c r="Z201" s="406" t="str">
        <f t="shared" si="111"/>
        <v/>
      </c>
      <c r="AA201" s="404" t="str">
        <f t="shared" si="112"/>
        <v/>
      </c>
      <c r="AB201" s="403" t="str">
        <f t="shared" si="113"/>
        <v/>
      </c>
      <c r="AC201" s="405" t="str">
        <f t="shared" si="114"/>
        <v/>
      </c>
      <c r="AD201" s="406" t="str">
        <f t="shared" si="115"/>
        <v/>
      </c>
      <c r="AE201" s="404" t="str">
        <f t="shared" si="116"/>
        <v/>
      </c>
      <c r="AF201" s="403" t="str">
        <f t="shared" si="117"/>
        <v/>
      </c>
      <c r="AG201" s="407" t="str">
        <f t="shared" si="118"/>
        <v/>
      </c>
      <c r="AH201" s="408" t="str">
        <f t="shared" si="119"/>
        <v/>
      </c>
      <c r="AI201" s="404" t="str">
        <f t="shared" si="120"/>
        <v/>
      </c>
      <c r="AJ201" s="403" t="str">
        <f t="shared" si="121"/>
        <v/>
      </c>
      <c r="AK201" s="405" t="str">
        <f t="shared" si="122"/>
        <v/>
      </c>
      <c r="AL201" s="406" t="str">
        <f t="shared" si="123"/>
        <v/>
      </c>
      <c r="AM201" s="419" t="str">
        <f t="shared" si="124"/>
        <v/>
      </c>
      <c r="AN201" s="38"/>
    </row>
    <row r="202" spans="1:40" ht="12.75" x14ac:dyDescent="0.2">
      <c r="A202" s="26"/>
      <c r="B202" s="38"/>
      <c r="C202" s="296" t="s">
        <v>304</v>
      </c>
      <c r="D202" s="296" t="str">
        <f t="shared" si="99"/>
        <v/>
      </c>
      <c r="E202" s="406" t="str">
        <f t="shared" si="99"/>
        <v/>
      </c>
      <c r="F202" s="415"/>
      <c r="G202" s="415"/>
      <c r="H202" s="415"/>
      <c r="I202" s="415"/>
      <c r="J202" s="415"/>
      <c r="K202" s="415"/>
      <c r="L202" s="415"/>
      <c r="M202" s="38"/>
      <c r="N202" s="403" t="str">
        <f t="shared" si="101"/>
        <v/>
      </c>
      <c r="O202" s="404" t="str">
        <f t="shared" si="102"/>
        <v/>
      </c>
      <c r="P202" s="403" t="str">
        <f t="shared" si="126"/>
        <v/>
      </c>
      <c r="Q202" s="405" t="str">
        <f t="shared" si="103"/>
        <v/>
      </c>
      <c r="R202" s="406" t="str">
        <f t="shared" si="127"/>
        <v/>
      </c>
      <c r="S202" s="404" t="str">
        <f t="shared" si="104"/>
        <v/>
      </c>
      <c r="T202" s="403" t="str">
        <f t="shared" si="105"/>
        <v/>
      </c>
      <c r="U202" s="407" t="str">
        <f t="shared" si="106"/>
        <v/>
      </c>
      <c r="V202" s="408" t="str">
        <f t="shared" si="107"/>
        <v/>
      </c>
      <c r="W202" s="404" t="str">
        <f t="shared" si="108"/>
        <v/>
      </c>
      <c r="X202" s="403" t="str">
        <f t="shared" si="109"/>
        <v/>
      </c>
      <c r="Y202" s="405" t="str">
        <f t="shared" si="110"/>
        <v/>
      </c>
      <c r="Z202" s="406" t="str">
        <f t="shared" si="111"/>
        <v/>
      </c>
      <c r="AA202" s="404" t="str">
        <f t="shared" si="112"/>
        <v/>
      </c>
      <c r="AB202" s="403" t="str">
        <f t="shared" si="113"/>
        <v/>
      </c>
      <c r="AC202" s="405" t="str">
        <f t="shared" si="114"/>
        <v/>
      </c>
      <c r="AD202" s="406" t="str">
        <f t="shared" si="115"/>
        <v/>
      </c>
      <c r="AE202" s="404" t="str">
        <f t="shared" si="116"/>
        <v/>
      </c>
      <c r="AF202" s="403" t="str">
        <f t="shared" si="117"/>
        <v/>
      </c>
      <c r="AG202" s="407" t="str">
        <f t="shared" si="118"/>
        <v/>
      </c>
      <c r="AH202" s="408" t="str">
        <f t="shared" si="119"/>
        <v/>
      </c>
      <c r="AI202" s="404" t="str">
        <f t="shared" si="120"/>
        <v/>
      </c>
      <c r="AJ202" s="403" t="str">
        <f t="shared" si="121"/>
        <v/>
      </c>
      <c r="AK202" s="405" t="str">
        <f t="shared" si="122"/>
        <v/>
      </c>
      <c r="AL202" s="406" t="str">
        <f t="shared" si="123"/>
        <v/>
      </c>
      <c r="AM202" s="419" t="str">
        <f t="shared" si="124"/>
        <v/>
      </c>
      <c r="AN202" s="38"/>
    </row>
    <row r="203" spans="1:40" ht="12.75" x14ac:dyDescent="0.2">
      <c r="A203" s="26"/>
      <c r="B203" s="38"/>
      <c r="C203" s="296" t="s">
        <v>304</v>
      </c>
      <c r="D203" s="296" t="str">
        <f t="shared" si="99"/>
        <v/>
      </c>
      <c r="E203" s="406" t="str">
        <f t="shared" si="99"/>
        <v/>
      </c>
      <c r="F203" s="415"/>
      <c r="G203" s="415"/>
      <c r="H203" s="415"/>
      <c r="I203" s="415"/>
      <c r="J203" s="415"/>
      <c r="K203" s="415"/>
      <c r="L203" s="415"/>
      <c r="M203" s="38"/>
      <c r="N203" s="403" t="str">
        <f t="shared" si="101"/>
        <v/>
      </c>
      <c r="O203" s="404" t="str">
        <f t="shared" si="102"/>
        <v/>
      </c>
      <c r="P203" s="403" t="str">
        <f t="shared" si="126"/>
        <v/>
      </c>
      <c r="Q203" s="405" t="str">
        <f t="shared" si="103"/>
        <v/>
      </c>
      <c r="R203" s="406" t="str">
        <f t="shared" si="127"/>
        <v/>
      </c>
      <c r="S203" s="404" t="str">
        <f t="shared" si="104"/>
        <v/>
      </c>
      <c r="T203" s="403" t="str">
        <f t="shared" si="105"/>
        <v/>
      </c>
      <c r="U203" s="407" t="str">
        <f t="shared" si="106"/>
        <v/>
      </c>
      <c r="V203" s="408" t="str">
        <f t="shared" si="107"/>
        <v/>
      </c>
      <c r="W203" s="404" t="str">
        <f t="shared" si="108"/>
        <v/>
      </c>
      <c r="X203" s="403" t="str">
        <f t="shared" si="109"/>
        <v/>
      </c>
      <c r="Y203" s="405" t="str">
        <f t="shared" si="110"/>
        <v/>
      </c>
      <c r="Z203" s="406" t="str">
        <f t="shared" si="111"/>
        <v/>
      </c>
      <c r="AA203" s="404" t="str">
        <f t="shared" si="112"/>
        <v/>
      </c>
      <c r="AB203" s="403" t="str">
        <f t="shared" si="113"/>
        <v/>
      </c>
      <c r="AC203" s="405" t="str">
        <f t="shared" si="114"/>
        <v/>
      </c>
      <c r="AD203" s="406" t="str">
        <f t="shared" si="115"/>
        <v/>
      </c>
      <c r="AE203" s="404" t="str">
        <f t="shared" si="116"/>
        <v/>
      </c>
      <c r="AF203" s="403" t="str">
        <f t="shared" si="117"/>
        <v/>
      </c>
      <c r="AG203" s="407" t="str">
        <f t="shared" si="118"/>
        <v/>
      </c>
      <c r="AH203" s="408" t="str">
        <f t="shared" si="119"/>
        <v/>
      </c>
      <c r="AI203" s="404" t="str">
        <f t="shared" si="120"/>
        <v/>
      </c>
      <c r="AJ203" s="403" t="str">
        <f t="shared" si="121"/>
        <v/>
      </c>
      <c r="AK203" s="405" t="str">
        <f t="shared" si="122"/>
        <v/>
      </c>
      <c r="AL203" s="406" t="str">
        <f t="shared" si="123"/>
        <v/>
      </c>
      <c r="AM203" s="419" t="str">
        <f t="shared" si="124"/>
        <v/>
      </c>
      <c r="AN203" s="38"/>
    </row>
    <row r="204" spans="1:40" ht="12.75" x14ac:dyDescent="0.2">
      <c r="A204" s="26"/>
      <c r="B204" s="38"/>
      <c r="C204" s="296" t="s">
        <v>637</v>
      </c>
      <c r="D204" s="296" t="str">
        <f t="shared" si="99"/>
        <v>Jerberra Rezoning Special Rate</v>
      </c>
      <c r="E204" s="406">
        <f t="shared" si="99"/>
        <v>341.15533915966387</v>
      </c>
      <c r="F204" s="415">
        <f>+G78</f>
        <v>372.33895442521043</v>
      </c>
      <c r="G204" s="415">
        <f t="shared" ref="G204:L204" si="128">+H78</f>
        <v>383.50912305796675</v>
      </c>
      <c r="H204" s="415">
        <f t="shared" si="128"/>
        <v>395.01439674970578</v>
      </c>
      <c r="I204" s="415">
        <f t="shared" si="128"/>
        <v>406.86482865219699</v>
      </c>
      <c r="J204" s="415">
        <f t="shared" si="128"/>
        <v>419.07077351176292</v>
      </c>
      <c r="K204" s="415">
        <f t="shared" si="128"/>
        <v>431.64289671711583</v>
      </c>
      <c r="L204" s="415">
        <f t="shared" si="128"/>
        <v>0</v>
      </c>
      <c r="M204" s="38"/>
      <c r="N204" s="403">
        <f t="shared" si="101"/>
        <v>31.183615265546564</v>
      </c>
      <c r="O204" s="404">
        <f t="shared" si="102"/>
        <v>9.140591304347824E-2</v>
      </c>
      <c r="P204" s="403">
        <f t="shared" si="126"/>
        <v>11.170168632756315</v>
      </c>
      <c r="Q204" s="405">
        <f t="shared" si="103"/>
        <v>3.0000000000000006E-2</v>
      </c>
      <c r="R204" s="406">
        <f t="shared" si="127"/>
        <v>42.353783898302879</v>
      </c>
      <c r="S204" s="404">
        <f t="shared" si="104"/>
        <v>0.1241480904347826</v>
      </c>
      <c r="T204" s="403">
        <f t="shared" si="105"/>
        <v>11.505273691739035</v>
      </c>
      <c r="U204" s="407">
        <f t="shared" si="106"/>
        <v>3.0000000000000086E-2</v>
      </c>
      <c r="V204" s="408">
        <f t="shared" si="107"/>
        <v>53.859057590041914</v>
      </c>
      <c r="W204" s="404">
        <f t="shared" si="108"/>
        <v>0.15787253314782618</v>
      </c>
      <c r="X204" s="403">
        <f t="shared" si="109"/>
        <v>11.850431902491209</v>
      </c>
      <c r="Y204" s="405">
        <f t="shared" si="110"/>
        <v>3.0000000000000089E-2</v>
      </c>
      <c r="Z204" s="406">
        <f t="shared" si="111"/>
        <v>65.709489492533123</v>
      </c>
      <c r="AA204" s="404">
        <f t="shared" si="112"/>
        <v>0.19260870914226105</v>
      </c>
      <c r="AB204" s="403">
        <f t="shared" si="113"/>
        <v>12.205944859565932</v>
      </c>
      <c r="AC204" s="405">
        <f t="shared" si="114"/>
        <v>3.0000000000000054E-2</v>
      </c>
      <c r="AD204" s="406">
        <f t="shared" si="115"/>
        <v>77.915434352099055</v>
      </c>
      <c r="AE204" s="404">
        <f t="shared" si="116"/>
        <v>0.22838697041652894</v>
      </c>
      <c r="AF204" s="403">
        <f t="shared" si="117"/>
        <v>12.572123205352909</v>
      </c>
      <c r="AG204" s="407">
        <f t="shared" si="118"/>
        <v>3.0000000000000051E-2</v>
      </c>
      <c r="AH204" s="408">
        <f t="shared" si="119"/>
        <v>90.487557557451964</v>
      </c>
      <c r="AI204" s="404">
        <f t="shared" si="120"/>
        <v>0.26523857952902491</v>
      </c>
      <c r="AJ204" s="403" t="str">
        <f t="shared" si="121"/>
        <v/>
      </c>
      <c r="AK204" s="405" t="str">
        <f t="shared" si="122"/>
        <v/>
      </c>
      <c r="AL204" s="406" t="str">
        <f t="shared" si="123"/>
        <v/>
      </c>
      <c r="AM204" s="419" t="str">
        <f t="shared" si="124"/>
        <v/>
      </c>
      <c r="AN204" s="38"/>
    </row>
    <row r="205" spans="1:40" ht="12.75" x14ac:dyDescent="0.2">
      <c r="A205" s="26"/>
      <c r="B205" s="38"/>
      <c r="C205" s="296" t="s">
        <v>637</v>
      </c>
      <c r="D205" s="296" t="str">
        <f t="shared" si="99"/>
        <v>Jerberra Road Design Special Rate</v>
      </c>
      <c r="E205" s="406">
        <f t="shared" si="99"/>
        <v>179.37866549999998</v>
      </c>
      <c r="F205" s="415">
        <f t="shared" ref="F205:L212" si="129">+G79</f>
        <v>195.71820628568273</v>
      </c>
      <c r="G205" s="415">
        <f t="shared" si="129"/>
        <v>201.5897524742532</v>
      </c>
      <c r="H205" s="415">
        <f t="shared" si="129"/>
        <v>207.6374450484808</v>
      </c>
      <c r="I205" s="415">
        <f t="shared" si="129"/>
        <v>213.86656839993523</v>
      </c>
      <c r="J205" s="415">
        <f t="shared" si="129"/>
        <v>220.28256545193329</v>
      </c>
      <c r="K205" s="415">
        <f t="shared" si="129"/>
        <v>226.89104241549131</v>
      </c>
      <c r="L205" s="415">
        <f t="shared" si="129"/>
        <v>0</v>
      </c>
      <c r="M205" s="38"/>
      <c r="N205" s="403">
        <f t="shared" si="101"/>
        <v>16.339540785682743</v>
      </c>
      <c r="O205" s="404">
        <f t="shared" si="102"/>
        <v>9.1089655172413714E-2</v>
      </c>
      <c r="P205" s="403">
        <f t="shared" si="126"/>
        <v>5.8715461885704769</v>
      </c>
      <c r="Q205" s="405">
        <f t="shared" si="103"/>
        <v>2.9999999999999975E-2</v>
      </c>
      <c r="R205" s="406">
        <f t="shared" si="127"/>
        <v>22.21108697425322</v>
      </c>
      <c r="S205" s="404">
        <f t="shared" si="104"/>
        <v>0.1238223448275861</v>
      </c>
      <c r="T205" s="403">
        <f t="shared" si="105"/>
        <v>6.0476925742275967</v>
      </c>
      <c r="U205" s="407">
        <f t="shared" si="106"/>
        <v>3.0000000000000002E-2</v>
      </c>
      <c r="V205" s="408">
        <f t="shared" si="107"/>
        <v>28.258779548480817</v>
      </c>
      <c r="W205" s="404">
        <f t="shared" si="108"/>
        <v>0.1575370151724137</v>
      </c>
      <c r="X205" s="403">
        <f t="shared" si="109"/>
        <v>6.2291233514544331</v>
      </c>
      <c r="Y205" s="405">
        <f t="shared" si="110"/>
        <v>3.0000000000000044E-2</v>
      </c>
      <c r="Z205" s="406">
        <f t="shared" si="111"/>
        <v>34.48790289993525</v>
      </c>
      <c r="AA205" s="404">
        <f t="shared" si="112"/>
        <v>0.19226312562758616</v>
      </c>
      <c r="AB205" s="403">
        <f t="shared" si="113"/>
        <v>6.4159970519980618</v>
      </c>
      <c r="AC205" s="405">
        <f t="shared" si="114"/>
        <v>3.0000000000000023E-2</v>
      </c>
      <c r="AD205" s="406">
        <f t="shared" si="115"/>
        <v>40.903899951933312</v>
      </c>
      <c r="AE205" s="404">
        <f t="shared" si="116"/>
        <v>0.22803101939641376</v>
      </c>
      <c r="AF205" s="403">
        <f t="shared" si="117"/>
        <v>6.6084769635580187</v>
      </c>
      <c r="AG205" s="407">
        <f t="shared" si="118"/>
        <v>3.0000000000000089E-2</v>
      </c>
      <c r="AH205" s="408">
        <f t="shared" si="119"/>
        <v>47.51237691549133</v>
      </c>
      <c r="AI205" s="404">
        <f t="shared" si="120"/>
        <v>0.26487194997830626</v>
      </c>
      <c r="AJ205" s="403" t="str">
        <f t="shared" si="121"/>
        <v/>
      </c>
      <c r="AK205" s="405" t="str">
        <f t="shared" si="122"/>
        <v/>
      </c>
      <c r="AL205" s="406" t="str">
        <f t="shared" si="123"/>
        <v/>
      </c>
      <c r="AM205" s="419" t="str">
        <f t="shared" si="124"/>
        <v/>
      </c>
      <c r="AN205" s="38"/>
    </row>
    <row r="206" spans="1:40" ht="12.75" x14ac:dyDescent="0.2">
      <c r="A206" s="26"/>
      <c r="B206" s="38"/>
      <c r="C206" s="296" t="s">
        <v>637</v>
      </c>
      <c r="D206" s="296" t="str">
        <f t="shared" si="99"/>
        <v>Jerberra Road Construction Special Rate</v>
      </c>
      <c r="E206" s="406">
        <f t="shared" si="99"/>
        <v>291.99787149999997</v>
      </c>
      <c r="F206" s="415">
        <f t="shared" si="129"/>
        <v>318.59585692601377</v>
      </c>
      <c r="G206" s="415">
        <f t="shared" si="129"/>
        <v>328.15373263379416</v>
      </c>
      <c r="H206" s="415">
        <f t="shared" si="129"/>
        <v>337.99834461280801</v>
      </c>
      <c r="I206" s="415">
        <f t="shared" si="129"/>
        <v>348.13829495119228</v>
      </c>
      <c r="J206" s="415">
        <f t="shared" si="129"/>
        <v>358.58244379972808</v>
      </c>
      <c r="K206" s="415">
        <f t="shared" si="129"/>
        <v>369.33991711371993</v>
      </c>
      <c r="L206" s="415">
        <f t="shared" si="129"/>
        <v>0</v>
      </c>
      <c r="M206" s="38"/>
      <c r="N206" s="403">
        <f t="shared" si="101"/>
        <v>26.597985426013793</v>
      </c>
      <c r="O206" s="404">
        <f t="shared" si="102"/>
        <v>9.1089655172413797E-2</v>
      </c>
      <c r="P206" s="403">
        <f t="shared" si="126"/>
        <v>9.5578757077803971</v>
      </c>
      <c r="Q206" s="405">
        <f t="shared" si="103"/>
        <v>2.999999999999995E-2</v>
      </c>
      <c r="R206" s="406">
        <f t="shared" si="127"/>
        <v>36.15586113379419</v>
      </c>
      <c r="S206" s="404">
        <f t="shared" si="104"/>
        <v>0.12382234482758615</v>
      </c>
      <c r="T206" s="403">
        <f t="shared" si="105"/>
        <v>9.8446119790138482</v>
      </c>
      <c r="U206" s="407">
        <f t="shared" si="106"/>
        <v>3.0000000000000072E-2</v>
      </c>
      <c r="V206" s="408">
        <f t="shared" si="107"/>
        <v>46.000473112808038</v>
      </c>
      <c r="W206" s="404">
        <f t="shared" si="108"/>
        <v>0.15753701517241384</v>
      </c>
      <c r="X206" s="403">
        <f t="shared" si="109"/>
        <v>10.139950338384267</v>
      </c>
      <c r="Y206" s="405">
        <f t="shared" si="110"/>
        <v>3.0000000000000079E-2</v>
      </c>
      <c r="Z206" s="406">
        <f t="shared" si="111"/>
        <v>56.140423451192305</v>
      </c>
      <c r="AA206" s="404">
        <f t="shared" si="112"/>
        <v>0.19226312562758632</v>
      </c>
      <c r="AB206" s="403">
        <f t="shared" si="113"/>
        <v>10.444148848535804</v>
      </c>
      <c r="AC206" s="405">
        <f t="shared" si="114"/>
        <v>3.00000000000001E-2</v>
      </c>
      <c r="AD206" s="406">
        <f t="shared" si="115"/>
        <v>66.584572299728109</v>
      </c>
      <c r="AE206" s="404">
        <f t="shared" si="116"/>
        <v>0.22803101939641404</v>
      </c>
      <c r="AF206" s="403">
        <f t="shared" si="117"/>
        <v>10.757473313991852</v>
      </c>
      <c r="AG206" s="407">
        <f t="shared" si="118"/>
        <v>3.0000000000000027E-2</v>
      </c>
      <c r="AH206" s="408">
        <f t="shared" si="119"/>
        <v>77.342045613719961</v>
      </c>
      <c r="AI206" s="404">
        <f t="shared" si="120"/>
        <v>0.26487194997830649</v>
      </c>
      <c r="AJ206" s="403" t="str">
        <f t="shared" si="121"/>
        <v/>
      </c>
      <c r="AK206" s="405" t="str">
        <f t="shared" si="122"/>
        <v/>
      </c>
      <c r="AL206" s="406" t="str">
        <f t="shared" si="123"/>
        <v/>
      </c>
      <c r="AM206" s="419" t="str">
        <f t="shared" si="124"/>
        <v/>
      </c>
      <c r="AN206" s="38"/>
    </row>
    <row r="207" spans="1:40" ht="12.75" x14ac:dyDescent="0.2">
      <c r="A207" s="26"/>
      <c r="B207" s="38"/>
      <c r="C207" s="296" t="s">
        <v>637</v>
      </c>
      <c r="D207" s="296" t="str">
        <f t="shared" si="99"/>
        <v>Verons Rezoning Special Rate</v>
      </c>
      <c r="E207" s="406">
        <f t="shared" si="99"/>
        <v>670.56</v>
      </c>
      <c r="F207" s="415">
        <f t="shared" si="129"/>
        <v>707.25304320000009</v>
      </c>
      <c r="G207" s="415">
        <f t="shared" si="129"/>
        <v>728.47063449600012</v>
      </c>
      <c r="H207" s="415">
        <f t="shared" si="129"/>
        <v>750.32475353088012</v>
      </c>
      <c r="I207" s="415">
        <f t="shared" si="129"/>
        <v>772.83449613680659</v>
      </c>
      <c r="J207" s="415">
        <f t="shared" si="129"/>
        <v>796.01953102091079</v>
      </c>
      <c r="K207" s="415">
        <f t="shared" si="129"/>
        <v>819.90011695153817</v>
      </c>
      <c r="L207" s="415">
        <f t="shared" si="129"/>
        <v>0</v>
      </c>
      <c r="M207" s="38"/>
      <c r="N207" s="403">
        <f t="shared" si="101"/>
        <v>36.693043200000147</v>
      </c>
      <c r="O207" s="404">
        <f t="shared" si="102"/>
        <v>5.4720000000000227E-2</v>
      </c>
      <c r="P207" s="403">
        <f t="shared" si="126"/>
        <v>21.217591296000023</v>
      </c>
      <c r="Q207" s="405">
        <f t="shared" si="103"/>
        <v>3.000000000000003E-2</v>
      </c>
      <c r="R207" s="406">
        <f t="shared" si="127"/>
        <v>57.910634496000171</v>
      </c>
      <c r="S207" s="404">
        <f t="shared" si="104"/>
        <v>8.636160000000026E-2</v>
      </c>
      <c r="T207" s="403">
        <f t="shared" si="105"/>
        <v>21.85411903488</v>
      </c>
      <c r="U207" s="407">
        <f t="shared" si="106"/>
        <v>2.9999999999999995E-2</v>
      </c>
      <c r="V207" s="408">
        <f t="shared" si="107"/>
        <v>79.764753530880171</v>
      </c>
      <c r="W207" s="404">
        <f t="shared" si="108"/>
        <v>0.11895244800000027</v>
      </c>
      <c r="X207" s="403">
        <f t="shared" si="109"/>
        <v>22.509742605926476</v>
      </c>
      <c r="Y207" s="405">
        <f t="shared" si="110"/>
        <v>3.0000000000000096E-2</v>
      </c>
      <c r="Z207" s="406">
        <f t="shared" si="111"/>
        <v>102.27449613680665</v>
      </c>
      <c r="AA207" s="404">
        <f t="shared" si="112"/>
        <v>0.15252102144000038</v>
      </c>
      <c r="AB207" s="403">
        <f t="shared" si="113"/>
        <v>23.185034884104198</v>
      </c>
      <c r="AC207" s="405">
        <f t="shared" si="114"/>
        <v>0.03</v>
      </c>
      <c r="AD207" s="406">
        <f t="shared" si="115"/>
        <v>125.45953102091084</v>
      </c>
      <c r="AE207" s="404">
        <f t="shared" si="116"/>
        <v>0.18709665208320039</v>
      </c>
      <c r="AF207" s="403">
        <f t="shared" si="117"/>
        <v>23.880585930627376</v>
      </c>
      <c r="AG207" s="407">
        <f t="shared" si="118"/>
        <v>3.0000000000000065E-2</v>
      </c>
      <c r="AH207" s="408">
        <f t="shared" si="119"/>
        <v>149.34011695153822</v>
      </c>
      <c r="AI207" s="404">
        <f t="shared" si="120"/>
        <v>0.22270955164569647</v>
      </c>
      <c r="AJ207" s="403" t="str">
        <f t="shared" si="121"/>
        <v/>
      </c>
      <c r="AK207" s="405" t="str">
        <f t="shared" si="122"/>
        <v/>
      </c>
      <c r="AL207" s="406" t="str">
        <f t="shared" si="123"/>
        <v/>
      </c>
      <c r="AM207" s="419" t="str">
        <f t="shared" si="124"/>
        <v/>
      </c>
      <c r="AN207" s="38"/>
    </row>
    <row r="208" spans="1:40" ht="12.75" x14ac:dyDescent="0.2">
      <c r="A208" s="26"/>
      <c r="B208" s="38"/>
      <c r="C208" s="296" t="s">
        <v>637</v>
      </c>
      <c r="D208" s="296" t="str">
        <f t="shared" si="99"/>
        <v>Verons Road Design Special Rate</v>
      </c>
      <c r="E208" s="406">
        <f t="shared" si="99"/>
        <v>256.14999999999998</v>
      </c>
      <c r="F208" s="415">
        <f t="shared" si="129"/>
        <v>270.16652799999997</v>
      </c>
      <c r="G208" s="415">
        <f t="shared" si="129"/>
        <v>278.27152383999999</v>
      </c>
      <c r="H208" s="415">
        <f t="shared" si="129"/>
        <v>286.61966955520001</v>
      </c>
      <c r="I208" s="415">
        <f t="shared" si="129"/>
        <v>295.21825964185604</v>
      </c>
      <c r="J208" s="415">
        <f t="shared" si="129"/>
        <v>304.07480743111171</v>
      </c>
      <c r="K208" s="415">
        <f t="shared" si="129"/>
        <v>313.19705165404508</v>
      </c>
      <c r="L208" s="415">
        <f t="shared" si="129"/>
        <v>0</v>
      </c>
      <c r="M208" s="38"/>
      <c r="N208" s="403">
        <f t="shared" si="101"/>
        <v>14.016527999999994</v>
      </c>
      <c r="O208" s="404">
        <f t="shared" si="102"/>
        <v>5.4719999999999984E-2</v>
      </c>
      <c r="P208" s="403">
        <f t="shared" si="126"/>
        <v>8.1049958400000151</v>
      </c>
      <c r="Q208" s="405">
        <f t="shared" si="103"/>
        <v>3.0000000000000058E-2</v>
      </c>
      <c r="R208" s="406">
        <f t="shared" si="127"/>
        <v>22.121523840000009</v>
      </c>
      <c r="S208" s="404">
        <f t="shared" si="104"/>
        <v>8.6361600000000038E-2</v>
      </c>
      <c r="T208" s="403">
        <f t="shared" si="105"/>
        <v>8.3481457152000189</v>
      </c>
      <c r="U208" s="407">
        <f t="shared" si="106"/>
        <v>3.0000000000000068E-2</v>
      </c>
      <c r="V208" s="408">
        <f t="shared" si="107"/>
        <v>30.469669555200028</v>
      </c>
      <c r="W208" s="404">
        <f t="shared" si="108"/>
        <v>0.11895244800000011</v>
      </c>
      <c r="X208" s="403">
        <f t="shared" si="109"/>
        <v>8.5985900866560314</v>
      </c>
      <c r="Y208" s="405">
        <f t="shared" si="110"/>
        <v>3.000000000000011E-2</v>
      </c>
      <c r="Z208" s="406">
        <f t="shared" si="111"/>
        <v>39.068259641856059</v>
      </c>
      <c r="AA208" s="404">
        <f t="shared" si="112"/>
        <v>0.15252102144000024</v>
      </c>
      <c r="AB208" s="403">
        <f t="shared" si="113"/>
        <v>8.8565477892556714</v>
      </c>
      <c r="AC208" s="405">
        <f t="shared" si="114"/>
        <v>2.9999999999999968E-2</v>
      </c>
      <c r="AD208" s="406">
        <f t="shared" si="115"/>
        <v>47.924807431111731</v>
      </c>
      <c r="AE208" s="404">
        <f t="shared" si="116"/>
        <v>0.18709665208320023</v>
      </c>
      <c r="AF208" s="403">
        <f t="shared" si="117"/>
        <v>9.1222442229333751</v>
      </c>
      <c r="AG208" s="407">
        <f t="shared" si="118"/>
        <v>3.0000000000000079E-2</v>
      </c>
      <c r="AH208" s="408">
        <f t="shared" si="119"/>
        <v>57.047051654045106</v>
      </c>
      <c r="AI208" s="404">
        <f t="shared" si="120"/>
        <v>0.22270955164569631</v>
      </c>
      <c r="AJ208" s="403" t="str">
        <f t="shared" si="121"/>
        <v/>
      </c>
      <c r="AK208" s="405" t="str">
        <f t="shared" si="122"/>
        <v/>
      </c>
      <c r="AL208" s="406" t="str">
        <f t="shared" si="123"/>
        <v/>
      </c>
      <c r="AM208" s="419" t="str">
        <f t="shared" si="124"/>
        <v/>
      </c>
      <c r="AN208" s="38"/>
    </row>
    <row r="209" spans="1:40" ht="12.75" x14ac:dyDescent="0.2">
      <c r="A209" s="26"/>
      <c r="B209" s="38"/>
      <c r="C209" s="296" t="s">
        <v>637</v>
      </c>
      <c r="D209" s="296" t="str">
        <f t="shared" si="99"/>
        <v>Verons Road Construction Special Rate</v>
      </c>
      <c r="E209" s="406">
        <f t="shared" si="99"/>
        <v>773.61</v>
      </c>
      <c r="F209" s="415">
        <f t="shared" si="129"/>
        <v>815.94193920000009</v>
      </c>
      <c r="G209" s="415">
        <f t="shared" si="129"/>
        <v>840.42019737600015</v>
      </c>
      <c r="H209" s="415">
        <f t="shared" si="129"/>
        <v>865.63280329728013</v>
      </c>
      <c r="I209" s="415">
        <f t="shared" si="129"/>
        <v>891.60178739619857</v>
      </c>
      <c r="J209" s="415">
        <f t="shared" si="129"/>
        <v>918.34984101808459</v>
      </c>
      <c r="K209" s="415">
        <f t="shared" si="129"/>
        <v>945.90033624862713</v>
      </c>
      <c r="L209" s="415">
        <f t="shared" si="129"/>
        <v>0</v>
      </c>
      <c r="M209" s="38"/>
      <c r="N209" s="403">
        <f t="shared" si="101"/>
        <v>42.331939200000079</v>
      </c>
      <c r="O209" s="404">
        <f t="shared" si="102"/>
        <v>5.4720000000000102E-2</v>
      </c>
      <c r="P209" s="403">
        <f t="shared" si="126"/>
        <v>24.478258176000054</v>
      </c>
      <c r="Q209" s="405">
        <f t="shared" si="103"/>
        <v>3.0000000000000061E-2</v>
      </c>
      <c r="R209" s="406">
        <f t="shared" si="127"/>
        <v>66.810197376000133</v>
      </c>
      <c r="S209" s="404">
        <f t="shared" si="104"/>
        <v>8.6361600000000177E-2</v>
      </c>
      <c r="T209" s="403">
        <f t="shared" si="105"/>
        <v>25.212605921279987</v>
      </c>
      <c r="U209" s="407">
        <f t="shared" si="106"/>
        <v>2.9999999999999978E-2</v>
      </c>
      <c r="V209" s="408">
        <f t="shared" si="107"/>
        <v>92.02280329728012</v>
      </c>
      <c r="W209" s="404">
        <f t="shared" si="108"/>
        <v>0.11895244800000015</v>
      </c>
      <c r="X209" s="403">
        <f t="shared" si="109"/>
        <v>25.96898409891844</v>
      </c>
      <c r="Y209" s="405">
        <f t="shared" si="110"/>
        <v>3.0000000000000041E-2</v>
      </c>
      <c r="Z209" s="406">
        <f t="shared" si="111"/>
        <v>117.99178739619856</v>
      </c>
      <c r="AA209" s="404">
        <f t="shared" si="112"/>
        <v>0.15252102144000021</v>
      </c>
      <c r="AB209" s="403">
        <f t="shared" si="113"/>
        <v>26.748053621886015</v>
      </c>
      <c r="AC209" s="405">
        <f t="shared" si="114"/>
        <v>3.0000000000000065E-2</v>
      </c>
      <c r="AD209" s="406">
        <f t="shared" si="115"/>
        <v>144.73984101808458</v>
      </c>
      <c r="AE209" s="404">
        <f t="shared" si="116"/>
        <v>0.18709665208320028</v>
      </c>
      <c r="AF209" s="403">
        <f t="shared" si="117"/>
        <v>27.550495230542538</v>
      </c>
      <c r="AG209" s="407">
        <f t="shared" si="118"/>
        <v>0.03</v>
      </c>
      <c r="AH209" s="408">
        <f t="shared" si="119"/>
        <v>172.29033624862711</v>
      </c>
      <c r="AI209" s="404">
        <f t="shared" si="120"/>
        <v>0.22270955164569631</v>
      </c>
      <c r="AJ209" s="403" t="str">
        <f t="shared" si="121"/>
        <v/>
      </c>
      <c r="AK209" s="405" t="str">
        <f t="shared" si="122"/>
        <v/>
      </c>
      <c r="AL209" s="406" t="str">
        <f t="shared" si="123"/>
        <v/>
      </c>
      <c r="AM209" s="419" t="str">
        <f t="shared" si="124"/>
        <v/>
      </c>
      <c r="AN209" s="38"/>
    </row>
    <row r="210" spans="1:40" ht="12.75" x14ac:dyDescent="0.2">
      <c r="A210" s="26"/>
      <c r="B210" s="38"/>
      <c r="C210" s="296" t="s">
        <v>637</v>
      </c>
      <c r="D210" s="296" t="str">
        <f t="shared" si="99"/>
        <v>Nebraska Rezoning Special Rate</v>
      </c>
      <c r="E210" s="406">
        <f t="shared" si="99"/>
        <v>541.83375999999998</v>
      </c>
      <c r="F210" s="415">
        <f t="shared" si="129"/>
        <v>571.48290334719991</v>
      </c>
      <c r="G210" s="415">
        <f t="shared" si="129"/>
        <v>588.62739044761588</v>
      </c>
      <c r="H210" s="415">
        <f t="shared" si="129"/>
        <v>606.28621216104432</v>
      </c>
      <c r="I210" s="415">
        <f t="shared" si="129"/>
        <v>624.47479852587571</v>
      </c>
      <c r="J210" s="415">
        <f t="shared" si="129"/>
        <v>643.20904248165198</v>
      </c>
      <c r="K210" s="415">
        <f t="shared" si="129"/>
        <v>662.5053137561016</v>
      </c>
      <c r="L210" s="415">
        <f t="shared" si="129"/>
        <v>0</v>
      </c>
      <c r="M210" s="38"/>
      <c r="N210" s="403">
        <f t="shared" si="101"/>
        <v>29.649143347199924</v>
      </c>
      <c r="O210" s="404">
        <f t="shared" si="102"/>
        <v>5.4719999999999859E-2</v>
      </c>
      <c r="P210" s="403">
        <f t="shared" si="126"/>
        <v>17.144487100415972</v>
      </c>
      <c r="Q210" s="405">
        <f t="shared" si="103"/>
        <v>2.9999999999999957E-2</v>
      </c>
      <c r="R210" s="406">
        <f t="shared" si="127"/>
        <v>46.793630447615897</v>
      </c>
      <c r="S210" s="404">
        <f t="shared" si="104"/>
        <v>8.6361599999999816E-2</v>
      </c>
      <c r="T210" s="403">
        <f t="shared" si="105"/>
        <v>17.658821713428438</v>
      </c>
      <c r="U210" s="407">
        <f t="shared" si="106"/>
        <v>2.9999999999999933E-2</v>
      </c>
      <c r="V210" s="408">
        <f t="shared" si="107"/>
        <v>64.452452161044334</v>
      </c>
      <c r="W210" s="404">
        <f t="shared" si="108"/>
        <v>0.11895244799999974</v>
      </c>
      <c r="X210" s="403">
        <f t="shared" si="109"/>
        <v>18.188586364831394</v>
      </c>
      <c r="Y210" s="405">
        <f t="shared" si="110"/>
        <v>3.0000000000000106E-2</v>
      </c>
      <c r="Z210" s="406">
        <f t="shared" si="111"/>
        <v>82.641038525875729</v>
      </c>
      <c r="AA210" s="404">
        <f t="shared" si="112"/>
        <v>0.15252102143999985</v>
      </c>
      <c r="AB210" s="403">
        <f t="shared" si="113"/>
        <v>18.734243955776265</v>
      </c>
      <c r="AC210" s="405">
        <f t="shared" si="114"/>
        <v>2.9999999999999988E-2</v>
      </c>
      <c r="AD210" s="406">
        <f t="shared" si="115"/>
        <v>101.37528248165199</v>
      </c>
      <c r="AE210" s="404">
        <f t="shared" si="116"/>
        <v>0.18709665208319984</v>
      </c>
      <c r="AF210" s="403">
        <f t="shared" si="117"/>
        <v>19.296271274449623</v>
      </c>
      <c r="AG210" s="407">
        <f t="shared" si="118"/>
        <v>3.00000000000001E-2</v>
      </c>
      <c r="AH210" s="408">
        <f t="shared" si="119"/>
        <v>120.67155375610162</v>
      </c>
      <c r="AI210" s="404">
        <f t="shared" si="120"/>
        <v>0.22270955164569595</v>
      </c>
      <c r="AJ210" s="403" t="str">
        <f t="shared" si="121"/>
        <v/>
      </c>
      <c r="AK210" s="405" t="str">
        <f t="shared" si="122"/>
        <v/>
      </c>
      <c r="AL210" s="406" t="str">
        <f t="shared" si="123"/>
        <v/>
      </c>
      <c r="AM210" s="419" t="str">
        <f t="shared" si="124"/>
        <v/>
      </c>
      <c r="AN210" s="38"/>
    </row>
    <row r="211" spans="1:40" ht="12.75" x14ac:dyDescent="0.2">
      <c r="A211" s="26"/>
      <c r="B211" s="38"/>
      <c r="C211" s="296" t="s">
        <v>637</v>
      </c>
      <c r="D211" s="296" t="str">
        <f t="shared" si="99"/>
        <v>Nebraska Road Design Special Rate</v>
      </c>
      <c r="E211" s="406">
        <f t="shared" si="99"/>
        <v>135.31471999999999</v>
      </c>
      <c r="F211" s="415">
        <f t="shared" si="129"/>
        <v>142.71914147839999</v>
      </c>
      <c r="G211" s="415">
        <f t="shared" si="129"/>
        <v>147.00071572275201</v>
      </c>
      <c r="H211" s="415">
        <f t="shared" si="129"/>
        <v>151.41073719443457</v>
      </c>
      <c r="I211" s="415">
        <f t="shared" si="129"/>
        <v>155.95305931026761</v>
      </c>
      <c r="J211" s="415">
        <f t="shared" si="129"/>
        <v>160.63165108957563</v>
      </c>
      <c r="K211" s="415">
        <f t="shared" si="129"/>
        <v>165.4506006222629</v>
      </c>
      <c r="L211" s="415">
        <f t="shared" si="129"/>
        <v>0</v>
      </c>
      <c r="M211" s="38"/>
      <c r="N211" s="403">
        <f t="shared" si="101"/>
        <v>7.4044214783999962</v>
      </c>
      <c r="O211" s="404">
        <f t="shared" si="102"/>
        <v>5.4719999999999977E-2</v>
      </c>
      <c r="P211" s="403">
        <f t="shared" si="126"/>
        <v>4.2815742443520151</v>
      </c>
      <c r="Q211" s="405">
        <f t="shared" si="103"/>
        <v>3.0000000000000106E-2</v>
      </c>
      <c r="R211" s="406">
        <f t="shared" si="127"/>
        <v>11.685995722752011</v>
      </c>
      <c r="S211" s="404">
        <f t="shared" si="104"/>
        <v>8.6361600000000094E-2</v>
      </c>
      <c r="T211" s="403">
        <f t="shared" si="105"/>
        <v>4.410021471682569</v>
      </c>
      <c r="U211" s="407">
        <f t="shared" si="106"/>
        <v>3.0000000000000061E-2</v>
      </c>
      <c r="V211" s="408">
        <f t="shared" si="107"/>
        <v>16.09601719443458</v>
      </c>
      <c r="W211" s="404">
        <f t="shared" si="108"/>
        <v>0.11895244800000015</v>
      </c>
      <c r="X211" s="403">
        <f t="shared" si="109"/>
        <v>4.5423221158330307</v>
      </c>
      <c r="Y211" s="405">
        <f t="shared" si="110"/>
        <v>2.9999999999999957E-2</v>
      </c>
      <c r="Z211" s="406">
        <f t="shared" si="111"/>
        <v>20.638339310267611</v>
      </c>
      <c r="AA211" s="404">
        <f t="shared" si="112"/>
        <v>0.1525210214400001</v>
      </c>
      <c r="AB211" s="403">
        <f t="shared" si="113"/>
        <v>4.6785917793080216</v>
      </c>
      <c r="AC211" s="405">
        <f t="shared" si="114"/>
        <v>2.9999999999999957E-2</v>
      </c>
      <c r="AD211" s="406">
        <f t="shared" si="115"/>
        <v>25.316931089575633</v>
      </c>
      <c r="AE211" s="404">
        <f t="shared" si="116"/>
        <v>0.18709665208320006</v>
      </c>
      <c r="AF211" s="403">
        <f t="shared" si="117"/>
        <v>4.8189495326872702</v>
      </c>
      <c r="AG211" s="407">
        <f t="shared" si="118"/>
        <v>3.0000000000000009E-2</v>
      </c>
      <c r="AH211" s="408">
        <f t="shared" si="119"/>
        <v>30.135880622262903</v>
      </c>
      <c r="AI211" s="404">
        <f t="shared" si="120"/>
        <v>0.22270955164569609</v>
      </c>
      <c r="AJ211" s="403" t="str">
        <f t="shared" si="121"/>
        <v/>
      </c>
      <c r="AK211" s="405" t="str">
        <f t="shared" si="122"/>
        <v/>
      </c>
      <c r="AL211" s="406" t="str">
        <f t="shared" si="123"/>
        <v/>
      </c>
      <c r="AM211" s="419" t="str">
        <f t="shared" si="124"/>
        <v/>
      </c>
      <c r="AN211" s="38"/>
    </row>
    <row r="212" spans="1:40" ht="12.75" x14ac:dyDescent="0.2">
      <c r="A212" s="26"/>
      <c r="B212" s="38"/>
      <c r="C212" s="296" t="s">
        <v>637</v>
      </c>
      <c r="D212" s="296" t="str">
        <f t="shared" si="99"/>
        <v>Nebraska Road Construction Special Rate</v>
      </c>
      <c r="E212" s="406">
        <f t="shared" si="99"/>
        <v>231.46832000000003</v>
      </c>
      <c r="F212" s="415">
        <f t="shared" si="129"/>
        <v>244.13426647040004</v>
      </c>
      <c r="G212" s="415">
        <f t="shared" si="129"/>
        <v>251.45829446451205</v>
      </c>
      <c r="H212" s="415">
        <f t="shared" si="129"/>
        <v>259.0020432984474</v>
      </c>
      <c r="I212" s="415">
        <f t="shared" si="129"/>
        <v>266.77210459740081</v>
      </c>
      <c r="J212" s="415">
        <f t="shared" si="129"/>
        <v>274.77526773532287</v>
      </c>
      <c r="K212" s="415">
        <f t="shared" si="129"/>
        <v>283.01852576738258</v>
      </c>
      <c r="L212" s="415">
        <f t="shared" si="129"/>
        <v>0</v>
      </c>
      <c r="M212" s="38"/>
      <c r="N212" s="403">
        <f t="shared" si="101"/>
        <v>12.665946470400002</v>
      </c>
      <c r="O212" s="404">
        <f t="shared" si="102"/>
        <v>5.4719999999999998E-2</v>
      </c>
      <c r="P212" s="403">
        <f t="shared" si="126"/>
        <v>7.324027994112015</v>
      </c>
      <c r="Q212" s="405">
        <f t="shared" si="103"/>
        <v>3.0000000000000058E-2</v>
      </c>
      <c r="R212" s="406">
        <f t="shared" si="127"/>
        <v>19.989974464512017</v>
      </c>
      <c r="S212" s="404">
        <f t="shared" si="104"/>
        <v>8.6361600000000052E-2</v>
      </c>
      <c r="T212" s="403">
        <f t="shared" si="105"/>
        <v>7.5437488339353536</v>
      </c>
      <c r="U212" s="407">
        <f t="shared" si="106"/>
        <v>2.9999999999999968E-2</v>
      </c>
      <c r="V212" s="408">
        <f t="shared" si="107"/>
        <v>27.53372329844737</v>
      </c>
      <c r="W212" s="404">
        <f t="shared" si="108"/>
        <v>0.11895244800000003</v>
      </c>
      <c r="X212" s="403">
        <f t="shared" si="109"/>
        <v>7.7700612989534079</v>
      </c>
      <c r="Y212" s="405">
        <f t="shared" si="110"/>
        <v>2.9999999999999947E-2</v>
      </c>
      <c r="Z212" s="406">
        <f t="shared" si="111"/>
        <v>35.303784597400778</v>
      </c>
      <c r="AA212" s="404">
        <f t="shared" si="112"/>
        <v>0.15252102143999996</v>
      </c>
      <c r="AB212" s="403">
        <f t="shared" si="113"/>
        <v>8.0031631379220585</v>
      </c>
      <c r="AC212" s="405">
        <f t="shared" si="114"/>
        <v>3.0000000000000127E-2</v>
      </c>
      <c r="AD212" s="406">
        <f t="shared" si="115"/>
        <v>43.306947735322836</v>
      </c>
      <c r="AE212" s="404">
        <f t="shared" si="116"/>
        <v>0.18709665208320012</v>
      </c>
      <c r="AF212" s="403">
        <f t="shared" si="117"/>
        <v>8.243258032059714</v>
      </c>
      <c r="AG212" s="407">
        <f t="shared" si="118"/>
        <v>3.0000000000000103E-2</v>
      </c>
      <c r="AH212" s="408">
        <f t="shared" si="119"/>
        <v>51.55020576738255</v>
      </c>
      <c r="AI212" s="404">
        <f t="shared" si="120"/>
        <v>0.22270955164569622</v>
      </c>
      <c r="AJ212" s="403" t="str">
        <f t="shared" si="121"/>
        <v/>
      </c>
      <c r="AK212" s="405" t="str">
        <f t="shared" si="122"/>
        <v/>
      </c>
      <c r="AL212" s="406" t="str">
        <f t="shared" si="123"/>
        <v/>
      </c>
      <c r="AM212" s="419" t="str">
        <f t="shared" si="124"/>
        <v/>
      </c>
      <c r="AN212" s="38"/>
    </row>
    <row r="213" spans="1:40" ht="12.75" x14ac:dyDescent="0.2">
      <c r="A213" s="26"/>
      <c r="B213" s="38"/>
      <c r="C213" s="296" t="s">
        <v>637</v>
      </c>
      <c r="D213" s="296" t="str">
        <f t="shared" si="99"/>
        <v>Jerberra Road Infrastructure</v>
      </c>
      <c r="E213" s="406">
        <f t="shared" si="99"/>
        <v>1.0000000000000001E-5</v>
      </c>
      <c r="F213" s="415"/>
      <c r="G213" s="415"/>
      <c r="H213" s="415"/>
      <c r="I213" s="415"/>
      <c r="J213" s="415"/>
      <c r="K213" s="415"/>
      <c r="L213" s="415"/>
      <c r="M213" s="38"/>
      <c r="N213" s="403" t="str">
        <f t="shared" si="101"/>
        <v/>
      </c>
      <c r="O213" s="404" t="str">
        <f t="shared" si="102"/>
        <v/>
      </c>
      <c r="P213" s="403" t="str">
        <f t="shared" si="126"/>
        <v/>
      </c>
      <c r="Q213" s="405" t="str">
        <f t="shared" si="103"/>
        <v/>
      </c>
      <c r="R213" s="406" t="str">
        <f t="shared" si="127"/>
        <v/>
      </c>
      <c r="S213" s="404" t="str">
        <f t="shared" si="104"/>
        <v/>
      </c>
      <c r="T213" s="403" t="str">
        <f t="shared" si="105"/>
        <v/>
      </c>
      <c r="U213" s="407" t="str">
        <f t="shared" si="106"/>
        <v/>
      </c>
      <c r="V213" s="408" t="str">
        <f t="shared" si="107"/>
        <v/>
      </c>
      <c r="W213" s="404" t="str">
        <f t="shared" si="108"/>
        <v/>
      </c>
      <c r="X213" s="403" t="str">
        <f t="shared" si="109"/>
        <v/>
      </c>
      <c r="Y213" s="405" t="str">
        <f t="shared" si="110"/>
        <v/>
      </c>
      <c r="Z213" s="406" t="str">
        <f t="shared" si="111"/>
        <v/>
      </c>
      <c r="AA213" s="404" t="str">
        <f t="shared" si="112"/>
        <v/>
      </c>
      <c r="AB213" s="403" t="str">
        <f t="shared" si="113"/>
        <v/>
      </c>
      <c r="AC213" s="405" t="str">
        <f t="shared" si="114"/>
        <v/>
      </c>
      <c r="AD213" s="406" t="str">
        <f t="shared" si="115"/>
        <v/>
      </c>
      <c r="AE213" s="404" t="str">
        <f t="shared" si="116"/>
        <v/>
      </c>
      <c r="AF213" s="403" t="str">
        <f t="shared" si="117"/>
        <v/>
      </c>
      <c r="AG213" s="407" t="str">
        <f t="shared" si="118"/>
        <v/>
      </c>
      <c r="AH213" s="408" t="str">
        <f t="shared" si="119"/>
        <v/>
      </c>
      <c r="AI213" s="404" t="str">
        <f t="shared" si="120"/>
        <v/>
      </c>
      <c r="AJ213" s="403" t="str">
        <f t="shared" si="121"/>
        <v/>
      </c>
      <c r="AK213" s="405" t="str">
        <f t="shared" si="122"/>
        <v/>
      </c>
      <c r="AL213" s="406" t="str">
        <f t="shared" si="123"/>
        <v/>
      </c>
      <c r="AM213" s="419" t="str">
        <f t="shared" si="124"/>
        <v/>
      </c>
      <c r="AN213" s="38"/>
    </row>
    <row r="214" spans="1:40" s="165" customFormat="1" ht="12.75" x14ac:dyDescent="0.2">
      <c r="A214" s="539"/>
      <c r="B214" s="540"/>
      <c r="C214" s="579"/>
      <c r="D214" s="579" t="s">
        <v>613</v>
      </c>
      <c r="E214" s="406">
        <f t="shared" ref="E214:E261" si="130">E88</f>
        <v>953.66230940113905</v>
      </c>
      <c r="F214" s="406">
        <f>F571/'WK3 - Notional GI 15-16 YIELD'!$D$33</f>
        <v>974.26402170385802</v>
      </c>
      <c r="G214" s="406">
        <f>G571/'WK3 - Notional GI 15-16 YIELD'!$D$33</f>
        <v>1003.4919423549738</v>
      </c>
      <c r="H214" s="406">
        <f>H571/'WK3 - Notional GI 15-16 YIELD'!$D$33</f>
        <v>1033.596700625623</v>
      </c>
      <c r="I214" s="406">
        <f>I571/'WK3 - Notional GI 15-16 YIELD'!$D$33</f>
        <v>1064.6046016443916</v>
      </c>
      <c r="J214" s="406">
        <f>J571/'WK3 - Notional GI 15-16 YIELD'!$D$33</f>
        <v>1096.5427396937239</v>
      </c>
      <c r="K214" s="406">
        <f>K571/'WK3 - Notional GI 15-16 YIELD'!$D$33</f>
        <v>1129.4390218845354</v>
      </c>
      <c r="L214" s="406">
        <f>L571/'WK3 - Notional GI 15-16 YIELD'!$D$33</f>
        <v>1159.7213112784232</v>
      </c>
      <c r="M214" s="540"/>
      <c r="N214" s="403">
        <f t="shared" si="101"/>
        <v>20.601712302718965</v>
      </c>
      <c r="O214" s="404">
        <f t="shared" si="102"/>
        <v>2.1602733063505464E-2</v>
      </c>
      <c r="P214" s="403">
        <f t="shared" si="126"/>
        <v>29.227920651115824</v>
      </c>
      <c r="Q214" s="405">
        <f t="shared" si="103"/>
        <v>3.0000000000000086E-2</v>
      </c>
      <c r="R214" s="406">
        <f t="shared" si="127"/>
        <v>49.829632953834789</v>
      </c>
      <c r="S214" s="404">
        <f t="shared" si="104"/>
        <v>5.2250815055410717E-2</v>
      </c>
      <c r="T214" s="403">
        <f t="shared" si="105"/>
        <v>30.104758270649199</v>
      </c>
      <c r="U214" s="407">
        <f t="shared" si="106"/>
        <v>2.9999999999999985E-2</v>
      </c>
      <c r="V214" s="408">
        <f t="shared" si="107"/>
        <v>79.934391224483988</v>
      </c>
      <c r="W214" s="404">
        <f t="shared" si="108"/>
        <v>8.3818339507073014E-2</v>
      </c>
      <c r="X214" s="403">
        <f t="shared" si="109"/>
        <v>31.007901018768507</v>
      </c>
      <c r="Y214" s="405">
        <f t="shared" si="110"/>
        <v>2.9999999999999822E-2</v>
      </c>
      <c r="Z214" s="406">
        <f t="shared" si="111"/>
        <v>110.9422922432525</v>
      </c>
      <c r="AA214" s="404">
        <f t="shared" si="112"/>
        <v>0.11633288969228502</v>
      </c>
      <c r="AB214" s="403">
        <f t="shared" si="113"/>
        <v>31.938138049332338</v>
      </c>
      <c r="AC214" s="405">
        <f t="shared" si="114"/>
        <v>3.0000000000000554E-2</v>
      </c>
      <c r="AD214" s="406">
        <f t="shared" si="115"/>
        <v>142.88043029258483</v>
      </c>
      <c r="AE214" s="404">
        <f t="shared" si="116"/>
        <v>0.14982287638305419</v>
      </c>
      <c r="AF214" s="403">
        <f t="shared" si="117"/>
        <v>32.896282190811462</v>
      </c>
      <c r="AG214" s="407">
        <f t="shared" si="118"/>
        <v>2.9999999999999766E-2</v>
      </c>
      <c r="AH214" s="408">
        <f t="shared" si="119"/>
        <v>175.7767124833963</v>
      </c>
      <c r="AI214" s="404">
        <f t="shared" si="120"/>
        <v>0.18431756267454555</v>
      </c>
      <c r="AJ214" s="403">
        <f t="shared" si="121"/>
        <v>30.282289393887822</v>
      </c>
      <c r="AK214" s="405">
        <f t="shared" si="122"/>
        <v>2.6811796659336282E-2</v>
      </c>
      <c r="AL214" s="406">
        <f t="shared" si="123"/>
        <v>206.05900187728412</v>
      </c>
      <c r="AM214" s="419">
        <f t="shared" si="124"/>
        <v>0.2160712443450562</v>
      </c>
      <c r="AN214" s="540"/>
    </row>
    <row r="215" spans="1:40" ht="12.75" x14ac:dyDescent="0.2">
      <c r="A215" s="26"/>
      <c r="B215" s="38"/>
      <c r="C215" s="296" t="s">
        <v>306</v>
      </c>
      <c r="D215" s="296" t="str">
        <f t="shared" ref="D215:D259" si="131">D89</f>
        <v/>
      </c>
      <c r="E215" s="406">
        <f t="shared" si="130"/>
        <v>36.097300228571427</v>
      </c>
      <c r="F215" s="415">
        <f>+F89</f>
        <v>37.141447702857143</v>
      </c>
      <c r="G215" s="415">
        <f t="shared" ref="G215:L215" si="132">+G89</f>
        <v>38.255691133942861</v>
      </c>
      <c r="H215" s="415">
        <f t="shared" si="132"/>
        <v>39.403361867961145</v>
      </c>
      <c r="I215" s="415">
        <f t="shared" si="132"/>
        <v>40.585462723999981</v>
      </c>
      <c r="J215" s="415">
        <f t="shared" si="132"/>
        <v>41.803026605719985</v>
      </c>
      <c r="K215" s="415">
        <f t="shared" si="132"/>
        <v>43.057117403891588</v>
      </c>
      <c r="L215" s="415">
        <f t="shared" si="132"/>
        <v>44.34883092600834</v>
      </c>
      <c r="M215" s="38"/>
      <c r="N215" s="403">
        <f t="shared" si="101"/>
        <v>1.0441474742857153</v>
      </c>
      <c r="O215" s="404">
        <f t="shared" si="102"/>
        <v>2.8925916001309723E-2</v>
      </c>
      <c r="P215" s="403">
        <f t="shared" si="126"/>
        <v>1.1142434310857183</v>
      </c>
      <c r="Q215" s="405">
        <f t="shared" si="103"/>
        <v>3.000000000000011E-2</v>
      </c>
      <c r="R215" s="406">
        <f t="shared" si="127"/>
        <v>2.1583909053714336</v>
      </c>
      <c r="S215" s="404">
        <f t="shared" si="104"/>
        <v>5.9793693481349122E-2</v>
      </c>
      <c r="T215" s="403">
        <f t="shared" si="105"/>
        <v>1.1476707340182841</v>
      </c>
      <c r="U215" s="407">
        <f t="shared" si="106"/>
        <v>2.9999999999999954E-2</v>
      </c>
      <c r="V215" s="408">
        <f t="shared" si="107"/>
        <v>3.3060616393897178</v>
      </c>
      <c r="W215" s="404">
        <f t="shared" si="108"/>
        <v>9.1587504285789545E-2</v>
      </c>
      <c r="X215" s="403">
        <f t="shared" si="109"/>
        <v>1.1821008560388364</v>
      </c>
      <c r="Y215" s="405">
        <f t="shared" si="110"/>
        <v>3.0000000000000051E-2</v>
      </c>
      <c r="Z215" s="406">
        <f t="shared" si="111"/>
        <v>4.4881624954285542</v>
      </c>
      <c r="AA215" s="404">
        <f t="shared" si="112"/>
        <v>0.1243351294143633</v>
      </c>
      <c r="AB215" s="403">
        <f t="shared" si="113"/>
        <v>1.2175638817200038</v>
      </c>
      <c r="AC215" s="405">
        <f t="shared" si="114"/>
        <v>3.000000000000011E-2</v>
      </c>
      <c r="AD215" s="406">
        <f t="shared" si="115"/>
        <v>5.705726377148558</v>
      </c>
      <c r="AE215" s="404">
        <f t="shared" si="116"/>
        <v>0.15806518329679431</v>
      </c>
      <c r="AF215" s="403">
        <f t="shared" si="117"/>
        <v>1.2540907981716032</v>
      </c>
      <c r="AG215" s="407">
        <f t="shared" si="118"/>
        <v>3.0000000000000086E-2</v>
      </c>
      <c r="AH215" s="408">
        <f t="shared" si="119"/>
        <v>6.9598171753201612</v>
      </c>
      <c r="AI215" s="404">
        <f t="shared" si="120"/>
        <v>0.19280713879569825</v>
      </c>
      <c r="AJ215" s="403">
        <f t="shared" si="121"/>
        <v>1.2917135221167513</v>
      </c>
      <c r="AK215" s="405">
        <f t="shared" si="122"/>
        <v>3.0000000000000086E-2</v>
      </c>
      <c r="AL215" s="406">
        <f t="shared" si="123"/>
        <v>8.2515306974369125</v>
      </c>
      <c r="AM215" s="419">
        <f t="shared" si="124"/>
        <v>0.22859135295956928</v>
      </c>
      <c r="AN215" s="38"/>
    </row>
    <row r="216" spans="1:40" ht="12.75" x14ac:dyDescent="0.2">
      <c r="A216" s="26"/>
      <c r="B216" s="38"/>
      <c r="C216" s="296" t="s">
        <v>306</v>
      </c>
      <c r="D216" s="296" t="str">
        <f t="shared" si="131"/>
        <v>Commercial/Industrial</v>
      </c>
      <c r="E216" s="406">
        <f t="shared" si="130"/>
        <v>1663.0788915300127</v>
      </c>
      <c r="F216" s="415">
        <f t="shared" ref="F216:L219" si="133">+F90</f>
        <v>1696.4949758877224</v>
      </c>
      <c r="G216" s="415">
        <f t="shared" si="133"/>
        <v>1747.3898251643541</v>
      </c>
      <c r="H216" s="415">
        <f t="shared" si="133"/>
        <v>1799.8115199192848</v>
      </c>
      <c r="I216" s="415">
        <f t="shared" si="133"/>
        <v>1853.8058655168634</v>
      </c>
      <c r="J216" s="415">
        <f t="shared" si="133"/>
        <v>1909.4200414823692</v>
      </c>
      <c r="K216" s="415">
        <f t="shared" si="133"/>
        <v>1966.7026427268404</v>
      </c>
      <c r="L216" s="415">
        <f t="shared" si="133"/>
        <v>2025.7037220086456</v>
      </c>
      <c r="M216" s="38"/>
      <c r="N216" s="403">
        <f t="shared" si="101"/>
        <v>33.416084357709678</v>
      </c>
      <c r="O216" s="404">
        <f t="shared" si="102"/>
        <v>2.0092903907262798E-2</v>
      </c>
      <c r="P216" s="403">
        <f t="shared" si="126"/>
        <v>50.894849276631703</v>
      </c>
      <c r="Q216" s="405">
        <f t="shared" si="103"/>
        <v>3.000000000000002E-2</v>
      </c>
      <c r="R216" s="406">
        <f t="shared" si="127"/>
        <v>84.310933634341382</v>
      </c>
      <c r="S216" s="404">
        <f t="shared" si="104"/>
        <v>5.0695691024480703E-2</v>
      </c>
      <c r="T216" s="403">
        <f t="shared" si="105"/>
        <v>52.421694754930741</v>
      </c>
      <c r="U216" s="407">
        <f t="shared" si="106"/>
        <v>3.0000000000000068E-2</v>
      </c>
      <c r="V216" s="408">
        <f t="shared" si="107"/>
        <v>136.73262838927212</v>
      </c>
      <c r="W216" s="404">
        <f t="shared" si="108"/>
        <v>8.2216561755215189E-2</v>
      </c>
      <c r="X216" s="403">
        <f t="shared" si="109"/>
        <v>53.994345597578558</v>
      </c>
      <c r="Y216" s="405">
        <f t="shared" si="110"/>
        <v>3.0000000000000009E-2</v>
      </c>
      <c r="Z216" s="406">
        <f t="shared" si="111"/>
        <v>190.72697398685068</v>
      </c>
      <c r="AA216" s="404">
        <f t="shared" si="112"/>
        <v>0.11468305860787166</v>
      </c>
      <c r="AB216" s="403">
        <f t="shared" si="113"/>
        <v>55.614175965505865</v>
      </c>
      <c r="AC216" s="405">
        <f t="shared" si="114"/>
        <v>2.9999999999999982E-2</v>
      </c>
      <c r="AD216" s="406">
        <f t="shared" si="115"/>
        <v>246.34114995235655</v>
      </c>
      <c r="AE216" s="404">
        <f t="shared" si="116"/>
        <v>0.14812355036610778</v>
      </c>
      <c r="AF216" s="403">
        <f t="shared" si="117"/>
        <v>57.282601244471152</v>
      </c>
      <c r="AG216" s="407">
        <f t="shared" si="118"/>
        <v>3.0000000000000041E-2</v>
      </c>
      <c r="AH216" s="408">
        <f t="shared" si="119"/>
        <v>303.6237511968277</v>
      </c>
      <c r="AI216" s="404">
        <f t="shared" si="120"/>
        <v>0.18256725687709108</v>
      </c>
      <c r="AJ216" s="403">
        <f t="shared" si="121"/>
        <v>59.001079281805232</v>
      </c>
      <c r="AK216" s="405">
        <f t="shared" si="122"/>
        <v>3.0000000000000009E-2</v>
      </c>
      <c r="AL216" s="406">
        <f t="shared" si="123"/>
        <v>362.62483047863293</v>
      </c>
      <c r="AM216" s="419">
        <f t="shared" si="124"/>
        <v>0.21804427458340381</v>
      </c>
      <c r="AN216" s="38"/>
    </row>
    <row r="217" spans="1:40" ht="12.75" x14ac:dyDescent="0.2">
      <c r="A217" s="26"/>
      <c r="B217" s="38"/>
      <c r="C217" s="296" t="s">
        <v>306</v>
      </c>
      <c r="D217" s="296" t="str">
        <f t="shared" si="131"/>
        <v>Nowra</v>
      </c>
      <c r="E217" s="406">
        <f t="shared" si="130"/>
        <v>5002.3346022471906</v>
      </c>
      <c r="F217" s="415">
        <f t="shared" si="133"/>
        <v>5122.3909533707865</v>
      </c>
      <c r="G217" s="415">
        <f t="shared" si="133"/>
        <v>5276.06268197191</v>
      </c>
      <c r="H217" s="415">
        <f t="shared" si="133"/>
        <v>5434.3445624310671</v>
      </c>
      <c r="I217" s="415">
        <f t="shared" si="133"/>
        <v>5597.374899303999</v>
      </c>
      <c r="J217" s="415">
        <f t="shared" si="133"/>
        <v>5765.296146283119</v>
      </c>
      <c r="K217" s="415">
        <f t="shared" si="133"/>
        <v>5938.255030671613</v>
      </c>
      <c r="L217" s="415">
        <f t="shared" si="133"/>
        <v>6116.4026815917614</v>
      </c>
      <c r="M217" s="38"/>
      <c r="N217" s="403">
        <f t="shared" si="101"/>
        <v>120.05635112359596</v>
      </c>
      <c r="O217" s="404">
        <f t="shared" si="102"/>
        <v>2.4000064104001208E-2</v>
      </c>
      <c r="P217" s="403">
        <f t="shared" si="126"/>
        <v>153.6717286011235</v>
      </c>
      <c r="Q217" s="405">
        <f t="shared" si="103"/>
        <v>2.9999999999999982E-2</v>
      </c>
      <c r="R217" s="406">
        <f t="shared" si="127"/>
        <v>273.72807972471946</v>
      </c>
      <c r="S217" s="404">
        <f t="shared" si="104"/>
        <v>5.4720066027121227E-2</v>
      </c>
      <c r="T217" s="403">
        <f t="shared" si="105"/>
        <v>158.28188045915704</v>
      </c>
      <c r="U217" s="407">
        <f t="shared" si="106"/>
        <v>2.999999999999995E-2</v>
      </c>
      <c r="V217" s="408">
        <f t="shared" si="107"/>
        <v>432.0099601838765</v>
      </c>
      <c r="W217" s="404">
        <f t="shared" si="108"/>
        <v>8.6361668007934808E-2</v>
      </c>
      <c r="X217" s="403">
        <f t="shared" si="109"/>
        <v>163.03033687293191</v>
      </c>
      <c r="Y217" s="405">
        <f t="shared" si="110"/>
        <v>2.9999999999999982E-2</v>
      </c>
      <c r="Z217" s="406">
        <f t="shared" si="111"/>
        <v>595.04029705680841</v>
      </c>
      <c r="AA217" s="404">
        <f t="shared" si="112"/>
        <v>0.11895251804817283</v>
      </c>
      <c r="AB217" s="403">
        <f t="shared" si="113"/>
        <v>167.92124697912004</v>
      </c>
      <c r="AC217" s="405">
        <f t="shared" si="114"/>
        <v>3.0000000000000013E-2</v>
      </c>
      <c r="AD217" s="406">
        <f t="shared" si="115"/>
        <v>762.96154403592845</v>
      </c>
      <c r="AE217" s="404">
        <f t="shared" si="116"/>
        <v>0.15252109358961805</v>
      </c>
      <c r="AF217" s="403">
        <f t="shared" si="117"/>
        <v>172.95888438849397</v>
      </c>
      <c r="AG217" s="407">
        <f t="shared" si="118"/>
        <v>3.0000000000000068E-2</v>
      </c>
      <c r="AH217" s="408">
        <f t="shared" si="119"/>
        <v>935.92042842442243</v>
      </c>
      <c r="AI217" s="404">
        <f t="shared" si="120"/>
        <v>0.18709672639730665</v>
      </c>
      <c r="AJ217" s="403">
        <f t="shared" si="121"/>
        <v>178.14765092014841</v>
      </c>
      <c r="AK217" s="405">
        <f t="shared" si="122"/>
        <v>3.0000000000000002E-2</v>
      </c>
      <c r="AL217" s="406">
        <f t="shared" si="123"/>
        <v>1114.0680793445708</v>
      </c>
      <c r="AM217" s="419">
        <f t="shared" si="124"/>
        <v>0.22270962818922585</v>
      </c>
      <c r="AN217" s="38"/>
    </row>
    <row r="218" spans="1:40" ht="12.75" x14ac:dyDescent="0.2">
      <c r="A218" s="26"/>
      <c r="B218" s="38"/>
      <c r="C218" s="296" t="s">
        <v>306</v>
      </c>
      <c r="D218" s="296" t="str">
        <f t="shared" si="131"/>
        <v>Ulladulla</v>
      </c>
      <c r="E218" s="406">
        <f t="shared" si="130"/>
        <v>2990.3583664062498</v>
      </c>
      <c r="F218" s="415">
        <f t="shared" si="133"/>
        <v>3062.1427714843749</v>
      </c>
      <c r="G218" s="415">
        <f t="shared" si="133"/>
        <v>3154.0070546289062</v>
      </c>
      <c r="H218" s="415">
        <f t="shared" si="133"/>
        <v>3248.6272662677734</v>
      </c>
      <c r="I218" s="415">
        <f t="shared" si="133"/>
        <v>3346.0860842558068</v>
      </c>
      <c r="J218" s="415">
        <f t="shared" si="133"/>
        <v>3446.4686667834812</v>
      </c>
      <c r="K218" s="415">
        <f t="shared" si="133"/>
        <v>3549.8627267869856</v>
      </c>
      <c r="L218" s="415">
        <f t="shared" si="133"/>
        <v>3656.3586085905954</v>
      </c>
      <c r="M218" s="38"/>
      <c r="N218" s="403">
        <f t="shared" si="101"/>
        <v>71.784405078125019</v>
      </c>
      <c r="O218" s="404">
        <f t="shared" si="102"/>
        <v>2.4005285080394567E-2</v>
      </c>
      <c r="P218" s="403">
        <f t="shared" si="126"/>
        <v>91.864283144531328</v>
      </c>
      <c r="Q218" s="405">
        <f t="shared" si="103"/>
        <v>3.0000000000000027E-2</v>
      </c>
      <c r="R218" s="406">
        <f t="shared" si="127"/>
        <v>163.64868822265635</v>
      </c>
      <c r="S218" s="404">
        <f t="shared" si="104"/>
        <v>5.4725443632806431E-2</v>
      </c>
      <c r="T218" s="403">
        <f t="shared" si="105"/>
        <v>94.620211638867204</v>
      </c>
      <c r="U218" s="407">
        <f t="shared" si="106"/>
        <v>3.0000000000000006E-2</v>
      </c>
      <c r="V218" s="408">
        <f t="shared" si="107"/>
        <v>258.26889986152355</v>
      </c>
      <c r="W218" s="404">
        <f t="shared" si="108"/>
        <v>8.6367206941790634E-2</v>
      </c>
      <c r="X218" s="403">
        <f t="shared" si="109"/>
        <v>97.458817988033388</v>
      </c>
      <c r="Y218" s="405">
        <f t="shared" si="110"/>
        <v>3.0000000000000058E-2</v>
      </c>
      <c r="Z218" s="406">
        <f t="shared" si="111"/>
        <v>355.72771784955694</v>
      </c>
      <c r="AA218" s="404">
        <f t="shared" si="112"/>
        <v>0.11895822315004441</v>
      </c>
      <c r="AB218" s="403">
        <f t="shared" si="113"/>
        <v>100.38258252767446</v>
      </c>
      <c r="AC218" s="405">
        <f t="shared" si="114"/>
        <v>3.0000000000000075E-2</v>
      </c>
      <c r="AD218" s="406">
        <f t="shared" si="115"/>
        <v>456.1103003772314</v>
      </c>
      <c r="AE218" s="404">
        <f t="shared" si="116"/>
        <v>0.15252696984454583</v>
      </c>
      <c r="AF218" s="403">
        <f t="shared" si="117"/>
        <v>103.39406000350436</v>
      </c>
      <c r="AG218" s="407">
        <f t="shared" si="118"/>
        <v>2.9999999999999978E-2</v>
      </c>
      <c r="AH218" s="408">
        <f t="shared" si="119"/>
        <v>559.50436038073576</v>
      </c>
      <c r="AI218" s="404">
        <f t="shared" si="120"/>
        <v>0.18710277893988217</v>
      </c>
      <c r="AJ218" s="403">
        <f t="shared" si="121"/>
        <v>106.49588180360979</v>
      </c>
      <c r="AK218" s="405">
        <f t="shared" si="122"/>
        <v>3.0000000000000061E-2</v>
      </c>
      <c r="AL218" s="406">
        <f t="shared" si="123"/>
        <v>666.00024218434555</v>
      </c>
      <c r="AM218" s="419">
        <f t="shared" si="124"/>
        <v>0.22271586230807872</v>
      </c>
      <c r="AN218" s="38"/>
    </row>
    <row r="219" spans="1:40" ht="12.75" x14ac:dyDescent="0.2">
      <c r="A219" s="26"/>
      <c r="B219" s="38"/>
      <c r="C219" s="296" t="s">
        <v>306</v>
      </c>
      <c r="D219" s="296" t="str">
        <f t="shared" si="131"/>
        <v>Sussex Area Special</v>
      </c>
      <c r="E219" s="406">
        <f t="shared" si="130"/>
        <v>121.96997724210527</v>
      </c>
      <c r="F219" s="415">
        <f t="shared" si="133"/>
        <v>123.60780523958333</v>
      </c>
      <c r="G219" s="415">
        <f t="shared" si="133"/>
        <v>127.31603939677083</v>
      </c>
      <c r="H219" s="415">
        <f t="shared" si="133"/>
        <v>131.13552057867395</v>
      </c>
      <c r="I219" s="415">
        <f t="shared" si="133"/>
        <v>135.06958619603418</v>
      </c>
      <c r="J219" s="415">
        <f t="shared" si="133"/>
        <v>139.12167378191521</v>
      </c>
      <c r="K219" s="415">
        <f t="shared" si="133"/>
        <v>143.29532399537266</v>
      </c>
      <c r="L219" s="415">
        <f t="shared" si="133"/>
        <v>147.59418371523384</v>
      </c>
      <c r="M219" s="38"/>
      <c r="N219" s="403">
        <f t="shared" si="101"/>
        <v>1.6378279974780554</v>
      </c>
      <c r="O219" s="404">
        <f t="shared" si="102"/>
        <v>1.3428124154086179E-2</v>
      </c>
      <c r="P219" s="403">
        <f t="shared" si="126"/>
        <v>3.7082341571875048</v>
      </c>
      <c r="Q219" s="405">
        <f t="shared" si="103"/>
        <v>3.0000000000000041E-2</v>
      </c>
      <c r="R219" s="406">
        <f t="shared" si="127"/>
        <v>5.3460621546655602</v>
      </c>
      <c r="S219" s="404">
        <f t="shared" si="104"/>
        <v>4.3830967878708806E-2</v>
      </c>
      <c r="T219" s="403">
        <f t="shared" si="105"/>
        <v>3.8194811819031145</v>
      </c>
      <c r="U219" s="407">
        <f t="shared" si="106"/>
        <v>2.9999999999999919E-2</v>
      </c>
      <c r="V219" s="408">
        <f t="shared" si="107"/>
        <v>9.1655433365686747</v>
      </c>
      <c r="W219" s="404">
        <f t="shared" si="108"/>
        <v>7.5145896915069982E-2</v>
      </c>
      <c r="X219" s="403">
        <f t="shared" si="109"/>
        <v>3.9340656173602326</v>
      </c>
      <c r="Y219" s="405">
        <f t="shared" si="110"/>
        <v>3.000000000000011E-2</v>
      </c>
      <c r="Z219" s="406">
        <f t="shared" si="111"/>
        <v>13.099608953928907</v>
      </c>
      <c r="AA219" s="404">
        <f t="shared" si="112"/>
        <v>0.10740027382252219</v>
      </c>
      <c r="AB219" s="403">
        <f t="shared" si="113"/>
        <v>4.0520875858810257</v>
      </c>
      <c r="AC219" s="405">
        <f t="shared" si="114"/>
        <v>3.0000000000000002E-2</v>
      </c>
      <c r="AD219" s="406">
        <f t="shared" si="115"/>
        <v>17.151696539809933</v>
      </c>
      <c r="AE219" s="404">
        <f t="shared" si="116"/>
        <v>0.14062228203719787</v>
      </c>
      <c r="AF219" s="403">
        <f t="shared" si="117"/>
        <v>4.1736502134574494</v>
      </c>
      <c r="AG219" s="407">
        <f t="shared" si="118"/>
        <v>2.999999999999995E-2</v>
      </c>
      <c r="AH219" s="408">
        <f t="shared" si="119"/>
        <v>21.325346753267382</v>
      </c>
      <c r="AI219" s="404">
        <f t="shared" si="120"/>
        <v>0.17484095049831375</v>
      </c>
      <c r="AJ219" s="403">
        <f t="shared" si="121"/>
        <v>4.2988597198611842</v>
      </c>
      <c r="AK219" s="405">
        <f t="shared" si="122"/>
        <v>3.000000000000003E-2</v>
      </c>
      <c r="AL219" s="406">
        <f t="shared" si="123"/>
        <v>25.624206473128567</v>
      </c>
      <c r="AM219" s="419">
        <f t="shared" si="124"/>
        <v>0.21008617901326321</v>
      </c>
      <c r="AN219" s="38"/>
    </row>
    <row r="220" spans="1:40" ht="12.75" x14ac:dyDescent="0.2">
      <c r="A220" s="26"/>
      <c r="B220" s="38"/>
      <c r="C220" s="296" t="s">
        <v>306</v>
      </c>
      <c r="D220" s="296" t="str">
        <f t="shared" si="131"/>
        <v/>
      </c>
      <c r="E220" s="406" t="str">
        <f t="shared" si="130"/>
        <v/>
      </c>
      <c r="F220" s="415"/>
      <c r="G220" s="415"/>
      <c r="H220" s="415"/>
      <c r="I220" s="415"/>
      <c r="J220" s="415"/>
      <c r="K220" s="415"/>
      <c r="L220" s="415"/>
      <c r="M220" s="38"/>
      <c r="N220" s="403" t="str">
        <f t="shared" si="101"/>
        <v/>
      </c>
      <c r="O220" s="404" t="str">
        <f t="shared" si="102"/>
        <v/>
      </c>
      <c r="P220" s="403" t="str">
        <f t="shared" si="126"/>
        <v/>
      </c>
      <c r="Q220" s="405" t="str">
        <f t="shared" si="103"/>
        <v/>
      </c>
      <c r="R220" s="406" t="str">
        <f t="shared" si="127"/>
        <v/>
      </c>
      <c r="S220" s="404" t="str">
        <f t="shared" si="104"/>
        <v/>
      </c>
      <c r="T220" s="403" t="str">
        <f t="shared" si="105"/>
        <v/>
      </c>
      <c r="U220" s="407" t="str">
        <f t="shared" si="106"/>
        <v/>
      </c>
      <c r="V220" s="408" t="str">
        <f t="shared" si="107"/>
        <v/>
      </c>
      <c r="W220" s="404" t="str">
        <f t="shared" si="108"/>
        <v/>
      </c>
      <c r="X220" s="403" t="str">
        <f t="shared" si="109"/>
        <v/>
      </c>
      <c r="Y220" s="405" t="str">
        <f t="shared" si="110"/>
        <v/>
      </c>
      <c r="Z220" s="406" t="str">
        <f t="shared" si="111"/>
        <v/>
      </c>
      <c r="AA220" s="404" t="str">
        <f t="shared" si="112"/>
        <v/>
      </c>
      <c r="AB220" s="403" t="str">
        <f t="shared" si="113"/>
        <v/>
      </c>
      <c r="AC220" s="405" t="str">
        <f t="shared" si="114"/>
        <v/>
      </c>
      <c r="AD220" s="406" t="str">
        <f t="shared" si="115"/>
        <v/>
      </c>
      <c r="AE220" s="404" t="str">
        <f t="shared" si="116"/>
        <v/>
      </c>
      <c r="AF220" s="403" t="str">
        <f t="shared" si="117"/>
        <v/>
      </c>
      <c r="AG220" s="407" t="str">
        <f t="shared" si="118"/>
        <v/>
      </c>
      <c r="AH220" s="408" t="str">
        <f t="shared" si="119"/>
        <v/>
      </c>
      <c r="AI220" s="404" t="str">
        <f t="shared" si="120"/>
        <v/>
      </c>
      <c r="AJ220" s="403" t="str">
        <f t="shared" si="121"/>
        <v/>
      </c>
      <c r="AK220" s="405" t="str">
        <f t="shared" si="122"/>
        <v/>
      </c>
      <c r="AL220" s="406" t="str">
        <f t="shared" si="123"/>
        <v/>
      </c>
      <c r="AM220" s="419" t="str">
        <f t="shared" si="124"/>
        <v/>
      </c>
      <c r="AN220" s="38"/>
    </row>
    <row r="221" spans="1:40" ht="12.75" x14ac:dyDescent="0.2">
      <c r="A221" s="26"/>
      <c r="B221" s="38"/>
      <c r="C221" s="296" t="s">
        <v>306</v>
      </c>
      <c r="D221" s="296" t="str">
        <f t="shared" si="131"/>
        <v/>
      </c>
      <c r="E221" s="406" t="str">
        <f t="shared" si="130"/>
        <v/>
      </c>
      <c r="F221" s="415"/>
      <c r="G221" s="415"/>
      <c r="H221" s="415"/>
      <c r="I221" s="415"/>
      <c r="J221" s="415"/>
      <c r="K221" s="415"/>
      <c r="L221" s="415"/>
      <c r="M221" s="38"/>
      <c r="N221" s="403" t="str">
        <f t="shared" si="101"/>
        <v/>
      </c>
      <c r="O221" s="404" t="str">
        <f t="shared" si="102"/>
        <v/>
      </c>
      <c r="P221" s="403" t="str">
        <f t="shared" si="126"/>
        <v/>
      </c>
      <c r="Q221" s="405" t="str">
        <f t="shared" si="103"/>
        <v/>
      </c>
      <c r="R221" s="406" t="str">
        <f t="shared" si="127"/>
        <v/>
      </c>
      <c r="S221" s="404" t="str">
        <f t="shared" si="104"/>
        <v/>
      </c>
      <c r="T221" s="403" t="str">
        <f t="shared" si="105"/>
        <v/>
      </c>
      <c r="U221" s="407" t="str">
        <f t="shared" si="106"/>
        <v/>
      </c>
      <c r="V221" s="408" t="str">
        <f t="shared" si="107"/>
        <v/>
      </c>
      <c r="W221" s="404" t="str">
        <f t="shared" si="108"/>
        <v/>
      </c>
      <c r="X221" s="403" t="str">
        <f t="shared" si="109"/>
        <v/>
      </c>
      <c r="Y221" s="405" t="str">
        <f t="shared" si="110"/>
        <v/>
      </c>
      <c r="Z221" s="406" t="str">
        <f t="shared" si="111"/>
        <v/>
      </c>
      <c r="AA221" s="404" t="str">
        <f t="shared" si="112"/>
        <v/>
      </c>
      <c r="AB221" s="403" t="str">
        <f t="shared" si="113"/>
        <v/>
      </c>
      <c r="AC221" s="405" t="str">
        <f t="shared" si="114"/>
        <v/>
      </c>
      <c r="AD221" s="406" t="str">
        <f t="shared" si="115"/>
        <v/>
      </c>
      <c r="AE221" s="404" t="str">
        <f t="shared" si="116"/>
        <v/>
      </c>
      <c r="AF221" s="403" t="str">
        <f t="shared" si="117"/>
        <v/>
      </c>
      <c r="AG221" s="407" t="str">
        <f t="shared" si="118"/>
        <v/>
      </c>
      <c r="AH221" s="408" t="str">
        <f t="shared" si="119"/>
        <v/>
      </c>
      <c r="AI221" s="404" t="str">
        <f t="shared" si="120"/>
        <v/>
      </c>
      <c r="AJ221" s="403" t="str">
        <f t="shared" si="121"/>
        <v/>
      </c>
      <c r="AK221" s="405" t="str">
        <f t="shared" si="122"/>
        <v/>
      </c>
      <c r="AL221" s="406" t="str">
        <f t="shared" si="123"/>
        <v/>
      </c>
      <c r="AM221" s="419" t="str">
        <f t="shared" si="124"/>
        <v/>
      </c>
      <c r="AN221" s="38"/>
    </row>
    <row r="222" spans="1:40" ht="12.75" x14ac:dyDescent="0.2">
      <c r="A222" s="26"/>
      <c r="B222" s="38"/>
      <c r="C222" s="296" t="s">
        <v>306</v>
      </c>
      <c r="D222" s="296" t="str">
        <f t="shared" si="131"/>
        <v/>
      </c>
      <c r="E222" s="406" t="str">
        <f t="shared" si="130"/>
        <v/>
      </c>
      <c r="F222" s="415"/>
      <c r="G222" s="415"/>
      <c r="H222" s="415"/>
      <c r="I222" s="415"/>
      <c r="J222" s="415"/>
      <c r="K222" s="415"/>
      <c r="L222" s="415"/>
      <c r="M222" s="38"/>
      <c r="N222" s="403" t="str">
        <f t="shared" si="101"/>
        <v/>
      </c>
      <c r="O222" s="404" t="str">
        <f t="shared" si="102"/>
        <v/>
      </c>
      <c r="P222" s="403" t="str">
        <f t="shared" si="126"/>
        <v/>
      </c>
      <c r="Q222" s="405" t="str">
        <f t="shared" si="103"/>
        <v/>
      </c>
      <c r="R222" s="406" t="str">
        <f t="shared" si="127"/>
        <v/>
      </c>
      <c r="S222" s="404" t="str">
        <f t="shared" si="104"/>
        <v/>
      </c>
      <c r="T222" s="403" t="str">
        <f t="shared" si="105"/>
        <v/>
      </c>
      <c r="U222" s="407" t="str">
        <f t="shared" si="106"/>
        <v/>
      </c>
      <c r="V222" s="408" t="str">
        <f t="shared" si="107"/>
        <v/>
      </c>
      <c r="W222" s="404" t="str">
        <f t="shared" si="108"/>
        <v/>
      </c>
      <c r="X222" s="403" t="str">
        <f t="shared" si="109"/>
        <v/>
      </c>
      <c r="Y222" s="405" t="str">
        <f t="shared" si="110"/>
        <v/>
      </c>
      <c r="Z222" s="406" t="str">
        <f t="shared" si="111"/>
        <v/>
      </c>
      <c r="AA222" s="404" t="str">
        <f t="shared" si="112"/>
        <v/>
      </c>
      <c r="AB222" s="403" t="str">
        <f t="shared" si="113"/>
        <v/>
      </c>
      <c r="AC222" s="405" t="str">
        <f t="shared" si="114"/>
        <v/>
      </c>
      <c r="AD222" s="406" t="str">
        <f t="shared" si="115"/>
        <v/>
      </c>
      <c r="AE222" s="404" t="str">
        <f t="shared" si="116"/>
        <v/>
      </c>
      <c r="AF222" s="403" t="str">
        <f t="shared" si="117"/>
        <v/>
      </c>
      <c r="AG222" s="407" t="str">
        <f t="shared" si="118"/>
        <v/>
      </c>
      <c r="AH222" s="408" t="str">
        <f t="shared" si="119"/>
        <v/>
      </c>
      <c r="AI222" s="404" t="str">
        <f t="shared" si="120"/>
        <v/>
      </c>
      <c r="AJ222" s="403" t="str">
        <f t="shared" si="121"/>
        <v/>
      </c>
      <c r="AK222" s="405" t="str">
        <f t="shared" si="122"/>
        <v/>
      </c>
      <c r="AL222" s="406" t="str">
        <f t="shared" si="123"/>
        <v/>
      </c>
      <c r="AM222" s="419" t="str">
        <f t="shared" si="124"/>
        <v/>
      </c>
      <c r="AN222" s="38"/>
    </row>
    <row r="223" spans="1:40" ht="12.75" x14ac:dyDescent="0.2">
      <c r="A223" s="26"/>
      <c r="B223" s="38"/>
      <c r="C223" s="296" t="s">
        <v>306</v>
      </c>
      <c r="D223" s="296" t="str">
        <f t="shared" si="131"/>
        <v/>
      </c>
      <c r="E223" s="406" t="str">
        <f t="shared" si="130"/>
        <v/>
      </c>
      <c r="F223" s="415"/>
      <c r="G223" s="415"/>
      <c r="H223" s="415"/>
      <c r="I223" s="415"/>
      <c r="J223" s="415"/>
      <c r="K223" s="415"/>
      <c r="L223" s="415"/>
      <c r="M223" s="38"/>
      <c r="N223" s="403" t="str">
        <f t="shared" si="101"/>
        <v/>
      </c>
      <c r="O223" s="404" t="str">
        <f t="shared" si="102"/>
        <v/>
      </c>
      <c r="P223" s="403" t="str">
        <f t="shared" si="126"/>
        <v/>
      </c>
      <c r="Q223" s="405" t="str">
        <f t="shared" si="103"/>
        <v/>
      </c>
      <c r="R223" s="406" t="str">
        <f t="shared" si="127"/>
        <v/>
      </c>
      <c r="S223" s="404" t="str">
        <f t="shared" si="104"/>
        <v/>
      </c>
      <c r="T223" s="403" t="str">
        <f t="shared" si="105"/>
        <v/>
      </c>
      <c r="U223" s="407" t="str">
        <f t="shared" si="106"/>
        <v/>
      </c>
      <c r="V223" s="408" t="str">
        <f t="shared" si="107"/>
        <v/>
      </c>
      <c r="W223" s="404" t="str">
        <f t="shared" si="108"/>
        <v/>
      </c>
      <c r="X223" s="403" t="str">
        <f t="shared" si="109"/>
        <v/>
      </c>
      <c r="Y223" s="405" t="str">
        <f t="shared" si="110"/>
        <v/>
      </c>
      <c r="Z223" s="406" t="str">
        <f t="shared" si="111"/>
        <v/>
      </c>
      <c r="AA223" s="404" t="str">
        <f t="shared" si="112"/>
        <v/>
      </c>
      <c r="AB223" s="403" t="str">
        <f t="shared" si="113"/>
        <v/>
      </c>
      <c r="AC223" s="405" t="str">
        <f t="shared" si="114"/>
        <v/>
      </c>
      <c r="AD223" s="406" t="str">
        <f t="shared" si="115"/>
        <v/>
      </c>
      <c r="AE223" s="404" t="str">
        <f t="shared" si="116"/>
        <v/>
      </c>
      <c r="AF223" s="403" t="str">
        <f t="shared" si="117"/>
        <v/>
      </c>
      <c r="AG223" s="407" t="str">
        <f t="shared" si="118"/>
        <v/>
      </c>
      <c r="AH223" s="408" t="str">
        <f t="shared" si="119"/>
        <v/>
      </c>
      <c r="AI223" s="404" t="str">
        <f t="shared" si="120"/>
        <v/>
      </c>
      <c r="AJ223" s="403" t="str">
        <f t="shared" si="121"/>
        <v/>
      </c>
      <c r="AK223" s="405" t="str">
        <f t="shared" si="122"/>
        <v/>
      </c>
      <c r="AL223" s="406" t="str">
        <f t="shared" si="123"/>
        <v/>
      </c>
      <c r="AM223" s="419" t="str">
        <f t="shared" si="124"/>
        <v/>
      </c>
      <c r="AN223" s="38"/>
    </row>
    <row r="224" spans="1:40" ht="12.75" x14ac:dyDescent="0.2">
      <c r="A224" s="26"/>
      <c r="B224" s="38"/>
      <c r="C224" s="296" t="s">
        <v>306</v>
      </c>
      <c r="D224" s="296" t="str">
        <f t="shared" si="131"/>
        <v/>
      </c>
      <c r="E224" s="406" t="str">
        <f t="shared" si="130"/>
        <v/>
      </c>
      <c r="F224" s="415"/>
      <c r="G224" s="415"/>
      <c r="H224" s="415"/>
      <c r="I224" s="415"/>
      <c r="J224" s="415"/>
      <c r="K224" s="415"/>
      <c r="L224" s="415"/>
      <c r="M224" s="38"/>
      <c r="N224" s="403" t="str">
        <f t="shared" si="101"/>
        <v/>
      </c>
      <c r="O224" s="404" t="str">
        <f t="shared" si="102"/>
        <v/>
      </c>
      <c r="P224" s="403" t="str">
        <f t="shared" si="126"/>
        <v/>
      </c>
      <c r="Q224" s="405" t="str">
        <f t="shared" si="103"/>
        <v/>
      </c>
      <c r="R224" s="406" t="str">
        <f t="shared" si="127"/>
        <v/>
      </c>
      <c r="S224" s="404" t="str">
        <f t="shared" si="104"/>
        <v/>
      </c>
      <c r="T224" s="403" t="str">
        <f t="shared" si="105"/>
        <v/>
      </c>
      <c r="U224" s="407" t="str">
        <f t="shared" si="106"/>
        <v/>
      </c>
      <c r="V224" s="408" t="str">
        <f t="shared" si="107"/>
        <v/>
      </c>
      <c r="W224" s="404" t="str">
        <f t="shared" si="108"/>
        <v/>
      </c>
      <c r="X224" s="403" t="str">
        <f t="shared" si="109"/>
        <v/>
      </c>
      <c r="Y224" s="405" t="str">
        <f t="shared" si="110"/>
        <v/>
      </c>
      <c r="Z224" s="406" t="str">
        <f t="shared" si="111"/>
        <v/>
      </c>
      <c r="AA224" s="404" t="str">
        <f t="shared" si="112"/>
        <v/>
      </c>
      <c r="AB224" s="403" t="str">
        <f t="shared" si="113"/>
        <v/>
      </c>
      <c r="AC224" s="405" t="str">
        <f t="shared" si="114"/>
        <v/>
      </c>
      <c r="AD224" s="406" t="str">
        <f t="shared" si="115"/>
        <v/>
      </c>
      <c r="AE224" s="404" t="str">
        <f t="shared" si="116"/>
        <v/>
      </c>
      <c r="AF224" s="403" t="str">
        <f t="shared" si="117"/>
        <v/>
      </c>
      <c r="AG224" s="407" t="str">
        <f t="shared" si="118"/>
        <v/>
      </c>
      <c r="AH224" s="408" t="str">
        <f t="shared" si="119"/>
        <v/>
      </c>
      <c r="AI224" s="404" t="str">
        <f t="shared" si="120"/>
        <v/>
      </c>
      <c r="AJ224" s="403" t="str">
        <f t="shared" si="121"/>
        <v/>
      </c>
      <c r="AK224" s="405" t="str">
        <f t="shared" si="122"/>
        <v/>
      </c>
      <c r="AL224" s="406" t="str">
        <f t="shared" si="123"/>
        <v/>
      </c>
      <c r="AM224" s="419" t="str">
        <f t="shared" si="124"/>
        <v/>
      </c>
      <c r="AN224" s="38"/>
    </row>
    <row r="225" spans="1:40" ht="12.75" x14ac:dyDescent="0.2">
      <c r="A225" s="26"/>
      <c r="B225" s="38"/>
      <c r="C225" s="296" t="s">
        <v>306</v>
      </c>
      <c r="D225" s="296" t="str">
        <f t="shared" si="131"/>
        <v/>
      </c>
      <c r="E225" s="406" t="str">
        <f t="shared" si="130"/>
        <v/>
      </c>
      <c r="F225" s="415"/>
      <c r="G225" s="415"/>
      <c r="H225" s="415"/>
      <c r="I225" s="415"/>
      <c r="J225" s="415"/>
      <c r="K225" s="415"/>
      <c r="L225" s="415"/>
      <c r="M225" s="38"/>
      <c r="N225" s="403" t="str">
        <f t="shared" si="101"/>
        <v/>
      </c>
      <c r="O225" s="404" t="str">
        <f t="shared" si="102"/>
        <v/>
      </c>
      <c r="P225" s="403" t="str">
        <f t="shared" si="126"/>
        <v/>
      </c>
      <c r="Q225" s="405" t="str">
        <f t="shared" si="103"/>
        <v/>
      </c>
      <c r="R225" s="406" t="str">
        <f t="shared" si="127"/>
        <v/>
      </c>
      <c r="S225" s="404" t="str">
        <f t="shared" si="104"/>
        <v/>
      </c>
      <c r="T225" s="403" t="str">
        <f t="shared" si="105"/>
        <v/>
      </c>
      <c r="U225" s="407" t="str">
        <f t="shared" si="106"/>
        <v/>
      </c>
      <c r="V225" s="408" t="str">
        <f t="shared" si="107"/>
        <v/>
      </c>
      <c r="W225" s="404" t="str">
        <f t="shared" si="108"/>
        <v/>
      </c>
      <c r="X225" s="403" t="str">
        <f t="shared" si="109"/>
        <v/>
      </c>
      <c r="Y225" s="405" t="str">
        <f t="shared" si="110"/>
        <v/>
      </c>
      <c r="Z225" s="406" t="str">
        <f t="shared" si="111"/>
        <v/>
      </c>
      <c r="AA225" s="404" t="str">
        <f t="shared" si="112"/>
        <v/>
      </c>
      <c r="AB225" s="403" t="str">
        <f t="shared" si="113"/>
        <v/>
      </c>
      <c r="AC225" s="405" t="str">
        <f t="shared" si="114"/>
        <v/>
      </c>
      <c r="AD225" s="406" t="str">
        <f t="shared" si="115"/>
        <v/>
      </c>
      <c r="AE225" s="404" t="str">
        <f t="shared" si="116"/>
        <v/>
      </c>
      <c r="AF225" s="403" t="str">
        <f t="shared" si="117"/>
        <v/>
      </c>
      <c r="AG225" s="407" t="str">
        <f t="shared" si="118"/>
        <v/>
      </c>
      <c r="AH225" s="408" t="str">
        <f t="shared" si="119"/>
        <v/>
      </c>
      <c r="AI225" s="404" t="str">
        <f t="shared" si="120"/>
        <v/>
      </c>
      <c r="AJ225" s="403" t="str">
        <f t="shared" si="121"/>
        <v/>
      </c>
      <c r="AK225" s="405" t="str">
        <f t="shared" si="122"/>
        <v/>
      </c>
      <c r="AL225" s="406" t="str">
        <f t="shared" si="123"/>
        <v/>
      </c>
      <c r="AM225" s="419" t="str">
        <f t="shared" si="124"/>
        <v/>
      </c>
      <c r="AN225" s="38"/>
    </row>
    <row r="226" spans="1:40" ht="12.75" x14ac:dyDescent="0.2">
      <c r="A226" s="26"/>
      <c r="B226" s="38"/>
      <c r="C226" s="296" t="s">
        <v>306</v>
      </c>
      <c r="D226" s="296" t="str">
        <f t="shared" si="131"/>
        <v/>
      </c>
      <c r="E226" s="406" t="str">
        <f t="shared" si="130"/>
        <v/>
      </c>
      <c r="F226" s="415"/>
      <c r="G226" s="415"/>
      <c r="H226" s="415"/>
      <c r="I226" s="415"/>
      <c r="J226" s="415"/>
      <c r="K226" s="415"/>
      <c r="L226" s="415"/>
      <c r="M226" s="38"/>
      <c r="N226" s="403" t="str">
        <f t="shared" si="101"/>
        <v/>
      </c>
      <c r="O226" s="404" t="str">
        <f t="shared" si="102"/>
        <v/>
      </c>
      <c r="P226" s="403" t="str">
        <f t="shared" si="126"/>
        <v/>
      </c>
      <c r="Q226" s="405" t="str">
        <f t="shared" si="103"/>
        <v/>
      </c>
      <c r="R226" s="406" t="str">
        <f t="shared" si="127"/>
        <v/>
      </c>
      <c r="S226" s="404" t="str">
        <f t="shared" si="104"/>
        <v/>
      </c>
      <c r="T226" s="403" t="str">
        <f t="shared" si="105"/>
        <v/>
      </c>
      <c r="U226" s="407" t="str">
        <f t="shared" si="106"/>
        <v/>
      </c>
      <c r="V226" s="408" t="str">
        <f t="shared" si="107"/>
        <v/>
      </c>
      <c r="W226" s="404" t="str">
        <f t="shared" si="108"/>
        <v/>
      </c>
      <c r="X226" s="403" t="str">
        <f t="shared" si="109"/>
        <v/>
      </c>
      <c r="Y226" s="405" t="str">
        <f t="shared" si="110"/>
        <v/>
      </c>
      <c r="Z226" s="406" t="str">
        <f t="shared" si="111"/>
        <v/>
      </c>
      <c r="AA226" s="404" t="str">
        <f t="shared" si="112"/>
        <v/>
      </c>
      <c r="AB226" s="403" t="str">
        <f t="shared" si="113"/>
        <v/>
      </c>
      <c r="AC226" s="405" t="str">
        <f t="shared" si="114"/>
        <v/>
      </c>
      <c r="AD226" s="406" t="str">
        <f t="shared" si="115"/>
        <v/>
      </c>
      <c r="AE226" s="404" t="str">
        <f t="shared" si="116"/>
        <v/>
      </c>
      <c r="AF226" s="403" t="str">
        <f t="shared" si="117"/>
        <v/>
      </c>
      <c r="AG226" s="407" t="str">
        <f t="shared" si="118"/>
        <v/>
      </c>
      <c r="AH226" s="408" t="str">
        <f t="shared" si="119"/>
        <v/>
      </c>
      <c r="AI226" s="404" t="str">
        <f t="shared" si="120"/>
        <v/>
      </c>
      <c r="AJ226" s="403" t="str">
        <f t="shared" si="121"/>
        <v/>
      </c>
      <c r="AK226" s="405" t="str">
        <f t="shared" si="122"/>
        <v/>
      </c>
      <c r="AL226" s="406" t="str">
        <f t="shared" si="123"/>
        <v/>
      </c>
      <c r="AM226" s="419" t="str">
        <f t="shared" si="124"/>
        <v/>
      </c>
      <c r="AN226" s="38"/>
    </row>
    <row r="227" spans="1:40" ht="12.75" x14ac:dyDescent="0.2">
      <c r="A227" s="26"/>
      <c r="B227" s="38"/>
      <c r="C227" s="296" t="s">
        <v>306</v>
      </c>
      <c r="D227" s="296" t="str">
        <f t="shared" si="131"/>
        <v/>
      </c>
      <c r="E227" s="406" t="str">
        <f t="shared" si="130"/>
        <v/>
      </c>
      <c r="F227" s="415"/>
      <c r="G227" s="415"/>
      <c r="H227" s="415"/>
      <c r="I227" s="415"/>
      <c r="J227" s="415"/>
      <c r="K227" s="415"/>
      <c r="L227" s="415"/>
      <c r="M227" s="38"/>
      <c r="N227" s="403" t="str">
        <f t="shared" si="101"/>
        <v/>
      </c>
      <c r="O227" s="404" t="str">
        <f t="shared" si="102"/>
        <v/>
      </c>
      <c r="P227" s="403" t="str">
        <f t="shared" si="126"/>
        <v/>
      </c>
      <c r="Q227" s="405" t="str">
        <f t="shared" si="103"/>
        <v/>
      </c>
      <c r="R227" s="406" t="str">
        <f t="shared" si="127"/>
        <v/>
      </c>
      <c r="S227" s="404" t="str">
        <f t="shared" si="104"/>
        <v/>
      </c>
      <c r="T227" s="403" t="str">
        <f t="shared" si="105"/>
        <v/>
      </c>
      <c r="U227" s="407" t="str">
        <f t="shared" si="106"/>
        <v/>
      </c>
      <c r="V227" s="408" t="str">
        <f t="shared" si="107"/>
        <v/>
      </c>
      <c r="W227" s="404" t="str">
        <f t="shared" si="108"/>
        <v/>
      </c>
      <c r="X227" s="403" t="str">
        <f t="shared" si="109"/>
        <v/>
      </c>
      <c r="Y227" s="405" t="str">
        <f t="shared" si="110"/>
        <v/>
      </c>
      <c r="Z227" s="406" t="str">
        <f t="shared" si="111"/>
        <v/>
      </c>
      <c r="AA227" s="404" t="str">
        <f t="shared" si="112"/>
        <v/>
      </c>
      <c r="AB227" s="403" t="str">
        <f t="shared" si="113"/>
        <v/>
      </c>
      <c r="AC227" s="405" t="str">
        <f t="shared" si="114"/>
        <v/>
      </c>
      <c r="AD227" s="406" t="str">
        <f t="shared" si="115"/>
        <v/>
      </c>
      <c r="AE227" s="404" t="str">
        <f t="shared" si="116"/>
        <v/>
      </c>
      <c r="AF227" s="403" t="str">
        <f t="shared" si="117"/>
        <v/>
      </c>
      <c r="AG227" s="407" t="str">
        <f t="shared" si="118"/>
        <v/>
      </c>
      <c r="AH227" s="408" t="str">
        <f t="shared" si="119"/>
        <v/>
      </c>
      <c r="AI227" s="404" t="str">
        <f t="shared" si="120"/>
        <v/>
      </c>
      <c r="AJ227" s="403" t="str">
        <f t="shared" si="121"/>
        <v/>
      </c>
      <c r="AK227" s="405" t="str">
        <f t="shared" si="122"/>
        <v/>
      </c>
      <c r="AL227" s="406" t="str">
        <f t="shared" si="123"/>
        <v/>
      </c>
      <c r="AM227" s="419" t="str">
        <f t="shared" si="124"/>
        <v/>
      </c>
      <c r="AN227" s="38"/>
    </row>
    <row r="228" spans="1:40" ht="12.75" x14ac:dyDescent="0.2">
      <c r="A228" s="26"/>
      <c r="B228" s="38"/>
      <c r="C228" s="296" t="s">
        <v>306</v>
      </c>
      <c r="D228" s="296" t="str">
        <f t="shared" si="131"/>
        <v/>
      </c>
      <c r="E228" s="406" t="str">
        <f t="shared" si="130"/>
        <v/>
      </c>
      <c r="F228" s="415"/>
      <c r="G228" s="415"/>
      <c r="H228" s="415"/>
      <c r="I228" s="415"/>
      <c r="J228" s="415"/>
      <c r="K228" s="415"/>
      <c r="L228" s="415"/>
      <c r="M228" s="38"/>
      <c r="N228" s="403" t="str">
        <f t="shared" si="101"/>
        <v/>
      </c>
      <c r="O228" s="404" t="str">
        <f t="shared" si="102"/>
        <v/>
      </c>
      <c r="P228" s="403" t="str">
        <f t="shared" si="126"/>
        <v/>
      </c>
      <c r="Q228" s="405" t="str">
        <f t="shared" si="103"/>
        <v/>
      </c>
      <c r="R228" s="406" t="str">
        <f t="shared" si="127"/>
        <v/>
      </c>
      <c r="S228" s="404" t="str">
        <f t="shared" si="104"/>
        <v/>
      </c>
      <c r="T228" s="403" t="str">
        <f t="shared" si="105"/>
        <v/>
      </c>
      <c r="U228" s="407" t="str">
        <f t="shared" si="106"/>
        <v/>
      </c>
      <c r="V228" s="408" t="str">
        <f t="shared" si="107"/>
        <v/>
      </c>
      <c r="W228" s="404" t="str">
        <f t="shared" si="108"/>
        <v/>
      </c>
      <c r="X228" s="403" t="str">
        <f t="shared" si="109"/>
        <v/>
      </c>
      <c r="Y228" s="405" t="str">
        <f t="shared" si="110"/>
        <v/>
      </c>
      <c r="Z228" s="406" t="str">
        <f t="shared" si="111"/>
        <v/>
      </c>
      <c r="AA228" s="404" t="str">
        <f t="shared" si="112"/>
        <v/>
      </c>
      <c r="AB228" s="403" t="str">
        <f t="shared" si="113"/>
        <v/>
      </c>
      <c r="AC228" s="405" t="str">
        <f t="shared" si="114"/>
        <v/>
      </c>
      <c r="AD228" s="406" t="str">
        <f t="shared" si="115"/>
        <v/>
      </c>
      <c r="AE228" s="404" t="str">
        <f t="shared" si="116"/>
        <v/>
      </c>
      <c r="AF228" s="403" t="str">
        <f t="shared" si="117"/>
        <v/>
      </c>
      <c r="AG228" s="407" t="str">
        <f t="shared" si="118"/>
        <v/>
      </c>
      <c r="AH228" s="408" t="str">
        <f t="shared" si="119"/>
        <v/>
      </c>
      <c r="AI228" s="404" t="str">
        <f t="shared" si="120"/>
        <v/>
      </c>
      <c r="AJ228" s="403" t="str">
        <f t="shared" si="121"/>
        <v/>
      </c>
      <c r="AK228" s="405" t="str">
        <f t="shared" si="122"/>
        <v/>
      </c>
      <c r="AL228" s="406" t="str">
        <f t="shared" si="123"/>
        <v/>
      </c>
      <c r="AM228" s="419" t="str">
        <f t="shared" si="124"/>
        <v/>
      </c>
      <c r="AN228" s="38"/>
    </row>
    <row r="229" spans="1:40" ht="12.75" x14ac:dyDescent="0.2">
      <c r="A229" s="26"/>
      <c r="B229" s="38"/>
      <c r="C229" s="296" t="s">
        <v>306</v>
      </c>
      <c r="D229" s="296" t="str">
        <f t="shared" si="131"/>
        <v/>
      </c>
      <c r="E229" s="406" t="str">
        <f t="shared" si="130"/>
        <v/>
      </c>
      <c r="F229" s="415"/>
      <c r="G229" s="415"/>
      <c r="H229" s="415"/>
      <c r="I229" s="415"/>
      <c r="J229" s="415"/>
      <c r="K229" s="415"/>
      <c r="L229" s="415"/>
      <c r="M229" s="38"/>
      <c r="N229" s="403" t="str">
        <f t="shared" si="101"/>
        <v/>
      </c>
      <c r="O229" s="404" t="str">
        <f t="shared" si="102"/>
        <v/>
      </c>
      <c r="P229" s="403" t="str">
        <f t="shared" si="126"/>
        <v/>
      </c>
      <c r="Q229" s="405" t="str">
        <f t="shared" si="103"/>
        <v/>
      </c>
      <c r="R229" s="406" t="str">
        <f t="shared" si="127"/>
        <v/>
      </c>
      <c r="S229" s="404" t="str">
        <f t="shared" si="104"/>
        <v/>
      </c>
      <c r="T229" s="403" t="str">
        <f t="shared" si="105"/>
        <v/>
      </c>
      <c r="U229" s="407" t="str">
        <f t="shared" si="106"/>
        <v/>
      </c>
      <c r="V229" s="408" t="str">
        <f t="shared" si="107"/>
        <v/>
      </c>
      <c r="W229" s="404" t="str">
        <f t="shared" si="108"/>
        <v/>
      </c>
      <c r="X229" s="403" t="str">
        <f t="shared" si="109"/>
        <v/>
      </c>
      <c r="Y229" s="405" t="str">
        <f t="shared" si="110"/>
        <v/>
      </c>
      <c r="Z229" s="406" t="str">
        <f t="shared" si="111"/>
        <v/>
      </c>
      <c r="AA229" s="404" t="str">
        <f t="shared" si="112"/>
        <v/>
      </c>
      <c r="AB229" s="403" t="str">
        <f t="shared" si="113"/>
        <v/>
      </c>
      <c r="AC229" s="405" t="str">
        <f t="shared" si="114"/>
        <v/>
      </c>
      <c r="AD229" s="406" t="str">
        <f t="shared" si="115"/>
        <v/>
      </c>
      <c r="AE229" s="404" t="str">
        <f t="shared" si="116"/>
        <v/>
      </c>
      <c r="AF229" s="403" t="str">
        <f t="shared" si="117"/>
        <v/>
      </c>
      <c r="AG229" s="407" t="str">
        <f t="shared" si="118"/>
        <v/>
      </c>
      <c r="AH229" s="408" t="str">
        <f t="shared" si="119"/>
        <v/>
      </c>
      <c r="AI229" s="404" t="str">
        <f t="shared" si="120"/>
        <v/>
      </c>
      <c r="AJ229" s="403" t="str">
        <f t="shared" si="121"/>
        <v/>
      </c>
      <c r="AK229" s="405" t="str">
        <f t="shared" si="122"/>
        <v/>
      </c>
      <c r="AL229" s="406" t="str">
        <f t="shared" si="123"/>
        <v/>
      </c>
      <c r="AM229" s="419" t="str">
        <f t="shared" si="124"/>
        <v/>
      </c>
      <c r="AN229" s="38"/>
    </row>
    <row r="230" spans="1:40" ht="12.75" x14ac:dyDescent="0.2">
      <c r="A230" s="26"/>
      <c r="B230" s="38"/>
      <c r="C230" s="296" t="s">
        <v>306</v>
      </c>
      <c r="D230" s="296" t="str">
        <f t="shared" si="131"/>
        <v/>
      </c>
      <c r="E230" s="406" t="str">
        <f t="shared" si="130"/>
        <v/>
      </c>
      <c r="F230" s="415"/>
      <c r="G230" s="415"/>
      <c r="H230" s="415"/>
      <c r="I230" s="415"/>
      <c r="J230" s="415"/>
      <c r="K230" s="415"/>
      <c r="L230" s="415"/>
      <c r="M230" s="38"/>
      <c r="N230" s="403" t="str">
        <f t="shared" si="101"/>
        <v/>
      </c>
      <c r="O230" s="404" t="str">
        <f t="shared" si="102"/>
        <v/>
      </c>
      <c r="P230" s="403" t="str">
        <f t="shared" si="126"/>
        <v/>
      </c>
      <c r="Q230" s="405" t="str">
        <f t="shared" si="103"/>
        <v/>
      </c>
      <c r="R230" s="406" t="str">
        <f t="shared" si="127"/>
        <v/>
      </c>
      <c r="S230" s="404" t="str">
        <f t="shared" si="104"/>
        <v/>
      </c>
      <c r="T230" s="403" t="str">
        <f t="shared" si="105"/>
        <v/>
      </c>
      <c r="U230" s="407" t="str">
        <f t="shared" si="106"/>
        <v/>
      </c>
      <c r="V230" s="408" t="str">
        <f t="shared" si="107"/>
        <v/>
      </c>
      <c r="W230" s="404" t="str">
        <f t="shared" si="108"/>
        <v/>
      </c>
      <c r="X230" s="403" t="str">
        <f t="shared" si="109"/>
        <v/>
      </c>
      <c r="Y230" s="405" t="str">
        <f t="shared" si="110"/>
        <v/>
      </c>
      <c r="Z230" s="406" t="str">
        <f t="shared" si="111"/>
        <v/>
      </c>
      <c r="AA230" s="404" t="str">
        <f t="shared" si="112"/>
        <v/>
      </c>
      <c r="AB230" s="403" t="str">
        <f t="shared" si="113"/>
        <v/>
      </c>
      <c r="AC230" s="405" t="str">
        <f t="shared" si="114"/>
        <v/>
      </c>
      <c r="AD230" s="406" t="str">
        <f t="shared" si="115"/>
        <v/>
      </c>
      <c r="AE230" s="404" t="str">
        <f t="shared" si="116"/>
        <v/>
      </c>
      <c r="AF230" s="403" t="str">
        <f t="shared" si="117"/>
        <v/>
      </c>
      <c r="AG230" s="407" t="str">
        <f t="shared" si="118"/>
        <v/>
      </c>
      <c r="AH230" s="408" t="str">
        <f t="shared" si="119"/>
        <v/>
      </c>
      <c r="AI230" s="404" t="str">
        <f t="shared" si="120"/>
        <v/>
      </c>
      <c r="AJ230" s="403" t="str">
        <f t="shared" si="121"/>
        <v/>
      </c>
      <c r="AK230" s="405" t="str">
        <f t="shared" si="122"/>
        <v/>
      </c>
      <c r="AL230" s="406" t="str">
        <f t="shared" si="123"/>
        <v/>
      </c>
      <c r="AM230" s="419" t="str">
        <f t="shared" si="124"/>
        <v/>
      </c>
      <c r="AN230" s="38"/>
    </row>
    <row r="231" spans="1:40" ht="12.75" x14ac:dyDescent="0.2">
      <c r="A231" s="26"/>
      <c r="B231" s="38"/>
      <c r="C231" s="296" t="s">
        <v>306</v>
      </c>
      <c r="D231" s="296" t="str">
        <f t="shared" si="131"/>
        <v/>
      </c>
      <c r="E231" s="406" t="str">
        <f t="shared" si="130"/>
        <v/>
      </c>
      <c r="F231" s="415"/>
      <c r="G231" s="415"/>
      <c r="H231" s="415"/>
      <c r="I231" s="415"/>
      <c r="J231" s="415"/>
      <c r="K231" s="415"/>
      <c r="L231" s="415"/>
      <c r="M231" s="38"/>
      <c r="N231" s="403" t="str">
        <f t="shared" si="101"/>
        <v/>
      </c>
      <c r="O231" s="404" t="str">
        <f t="shared" si="102"/>
        <v/>
      </c>
      <c r="P231" s="403" t="str">
        <f t="shared" si="126"/>
        <v/>
      </c>
      <c r="Q231" s="405" t="str">
        <f t="shared" si="103"/>
        <v/>
      </c>
      <c r="R231" s="406" t="str">
        <f t="shared" si="127"/>
        <v/>
      </c>
      <c r="S231" s="404" t="str">
        <f t="shared" si="104"/>
        <v/>
      </c>
      <c r="T231" s="403" t="str">
        <f t="shared" si="105"/>
        <v/>
      </c>
      <c r="U231" s="407" t="str">
        <f t="shared" si="106"/>
        <v/>
      </c>
      <c r="V231" s="408" t="str">
        <f t="shared" si="107"/>
        <v/>
      </c>
      <c r="W231" s="404" t="str">
        <f t="shared" si="108"/>
        <v/>
      </c>
      <c r="X231" s="403" t="str">
        <f t="shared" si="109"/>
        <v/>
      </c>
      <c r="Y231" s="405" t="str">
        <f t="shared" si="110"/>
        <v/>
      </c>
      <c r="Z231" s="406" t="str">
        <f t="shared" si="111"/>
        <v/>
      </c>
      <c r="AA231" s="404" t="str">
        <f t="shared" si="112"/>
        <v/>
      </c>
      <c r="AB231" s="403" t="str">
        <f t="shared" si="113"/>
        <v/>
      </c>
      <c r="AC231" s="405" t="str">
        <f t="shared" si="114"/>
        <v/>
      </c>
      <c r="AD231" s="406" t="str">
        <f t="shared" si="115"/>
        <v/>
      </c>
      <c r="AE231" s="404" t="str">
        <f t="shared" si="116"/>
        <v/>
      </c>
      <c r="AF231" s="403" t="str">
        <f t="shared" si="117"/>
        <v/>
      </c>
      <c r="AG231" s="407" t="str">
        <f t="shared" si="118"/>
        <v/>
      </c>
      <c r="AH231" s="408" t="str">
        <f t="shared" si="119"/>
        <v/>
      </c>
      <c r="AI231" s="404" t="str">
        <f t="shared" si="120"/>
        <v/>
      </c>
      <c r="AJ231" s="403" t="str">
        <f t="shared" si="121"/>
        <v/>
      </c>
      <c r="AK231" s="405" t="str">
        <f t="shared" si="122"/>
        <v/>
      </c>
      <c r="AL231" s="406" t="str">
        <f t="shared" si="123"/>
        <v/>
      </c>
      <c r="AM231" s="419" t="str">
        <f t="shared" si="124"/>
        <v/>
      </c>
      <c r="AN231" s="38"/>
    </row>
    <row r="232" spans="1:40" ht="12.75" x14ac:dyDescent="0.2">
      <c r="A232" s="26"/>
      <c r="B232" s="38"/>
      <c r="C232" s="296" t="s">
        <v>306</v>
      </c>
      <c r="D232" s="296" t="str">
        <f t="shared" si="131"/>
        <v/>
      </c>
      <c r="E232" s="406" t="str">
        <f t="shared" si="130"/>
        <v/>
      </c>
      <c r="F232" s="415"/>
      <c r="G232" s="415"/>
      <c r="H232" s="415"/>
      <c r="I232" s="415"/>
      <c r="J232" s="415"/>
      <c r="K232" s="415"/>
      <c r="L232" s="415"/>
      <c r="M232" s="38"/>
      <c r="N232" s="403" t="str">
        <f t="shared" si="101"/>
        <v/>
      </c>
      <c r="O232" s="404" t="str">
        <f t="shared" si="102"/>
        <v/>
      </c>
      <c r="P232" s="403" t="str">
        <f t="shared" si="126"/>
        <v/>
      </c>
      <c r="Q232" s="405" t="str">
        <f t="shared" si="103"/>
        <v/>
      </c>
      <c r="R232" s="406" t="str">
        <f t="shared" si="127"/>
        <v/>
      </c>
      <c r="S232" s="404" t="str">
        <f t="shared" si="104"/>
        <v/>
      </c>
      <c r="T232" s="403" t="str">
        <f t="shared" si="105"/>
        <v/>
      </c>
      <c r="U232" s="407" t="str">
        <f t="shared" si="106"/>
        <v/>
      </c>
      <c r="V232" s="408" t="str">
        <f t="shared" si="107"/>
        <v/>
      </c>
      <c r="W232" s="404" t="str">
        <f t="shared" si="108"/>
        <v/>
      </c>
      <c r="X232" s="403" t="str">
        <f t="shared" si="109"/>
        <v/>
      </c>
      <c r="Y232" s="405" t="str">
        <f t="shared" si="110"/>
        <v/>
      </c>
      <c r="Z232" s="406" t="str">
        <f t="shared" si="111"/>
        <v/>
      </c>
      <c r="AA232" s="404" t="str">
        <f t="shared" si="112"/>
        <v/>
      </c>
      <c r="AB232" s="403" t="str">
        <f t="shared" si="113"/>
        <v/>
      </c>
      <c r="AC232" s="405" t="str">
        <f t="shared" si="114"/>
        <v/>
      </c>
      <c r="AD232" s="406" t="str">
        <f t="shared" si="115"/>
        <v/>
      </c>
      <c r="AE232" s="404" t="str">
        <f t="shared" si="116"/>
        <v/>
      </c>
      <c r="AF232" s="403" t="str">
        <f t="shared" si="117"/>
        <v/>
      </c>
      <c r="AG232" s="407" t="str">
        <f t="shared" si="118"/>
        <v/>
      </c>
      <c r="AH232" s="408" t="str">
        <f t="shared" si="119"/>
        <v/>
      </c>
      <c r="AI232" s="404" t="str">
        <f t="shared" si="120"/>
        <v/>
      </c>
      <c r="AJ232" s="403" t="str">
        <f t="shared" si="121"/>
        <v/>
      </c>
      <c r="AK232" s="405" t="str">
        <f t="shared" si="122"/>
        <v/>
      </c>
      <c r="AL232" s="406" t="str">
        <f t="shared" si="123"/>
        <v/>
      </c>
      <c r="AM232" s="419" t="str">
        <f t="shared" si="124"/>
        <v/>
      </c>
      <c r="AN232" s="38"/>
    </row>
    <row r="233" spans="1:40" ht="12.75" x14ac:dyDescent="0.2">
      <c r="A233" s="26"/>
      <c r="B233" s="38"/>
      <c r="C233" s="296" t="s">
        <v>306</v>
      </c>
      <c r="D233" s="296" t="str">
        <f t="shared" si="131"/>
        <v/>
      </c>
      <c r="E233" s="406" t="str">
        <f t="shared" si="130"/>
        <v/>
      </c>
      <c r="F233" s="415"/>
      <c r="G233" s="415"/>
      <c r="H233" s="415"/>
      <c r="I233" s="415"/>
      <c r="J233" s="415"/>
      <c r="K233" s="415"/>
      <c r="L233" s="415"/>
      <c r="M233" s="38"/>
      <c r="N233" s="403" t="str">
        <f t="shared" si="101"/>
        <v/>
      </c>
      <c r="O233" s="404" t="str">
        <f t="shared" si="102"/>
        <v/>
      </c>
      <c r="P233" s="403" t="str">
        <f t="shared" si="126"/>
        <v/>
      </c>
      <c r="Q233" s="405" t="str">
        <f t="shared" si="103"/>
        <v/>
      </c>
      <c r="R233" s="406" t="str">
        <f t="shared" si="127"/>
        <v/>
      </c>
      <c r="S233" s="404" t="str">
        <f t="shared" si="104"/>
        <v/>
      </c>
      <c r="T233" s="403" t="str">
        <f t="shared" si="105"/>
        <v/>
      </c>
      <c r="U233" s="407" t="str">
        <f t="shared" si="106"/>
        <v/>
      </c>
      <c r="V233" s="408" t="str">
        <f t="shared" si="107"/>
        <v/>
      </c>
      <c r="W233" s="404" t="str">
        <f t="shared" si="108"/>
        <v/>
      </c>
      <c r="X233" s="403" t="str">
        <f t="shared" si="109"/>
        <v/>
      </c>
      <c r="Y233" s="405" t="str">
        <f t="shared" si="110"/>
        <v/>
      </c>
      <c r="Z233" s="406" t="str">
        <f t="shared" si="111"/>
        <v/>
      </c>
      <c r="AA233" s="404" t="str">
        <f t="shared" si="112"/>
        <v/>
      </c>
      <c r="AB233" s="403" t="str">
        <f t="shared" si="113"/>
        <v/>
      </c>
      <c r="AC233" s="405" t="str">
        <f t="shared" si="114"/>
        <v/>
      </c>
      <c r="AD233" s="406" t="str">
        <f t="shared" si="115"/>
        <v/>
      </c>
      <c r="AE233" s="404" t="str">
        <f t="shared" si="116"/>
        <v/>
      </c>
      <c r="AF233" s="403" t="str">
        <f t="shared" si="117"/>
        <v/>
      </c>
      <c r="AG233" s="407" t="str">
        <f t="shared" si="118"/>
        <v/>
      </c>
      <c r="AH233" s="408" t="str">
        <f t="shared" si="119"/>
        <v/>
      </c>
      <c r="AI233" s="404" t="str">
        <f t="shared" si="120"/>
        <v/>
      </c>
      <c r="AJ233" s="403" t="str">
        <f t="shared" si="121"/>
        <v/>
      </c>
      <c r="AK233" s="405" t="str">
        <f t="shared" si="122"/>
        <v/>
      </c>
      <c r="AL233" s="406" t="str">
        <f t="shared" si="123"/>
        <v/>
      </c>
      <c r="AM233" s="419" t="str">
        <f t="shared" si="124"/>
        <v/>
      </c>
      <c r="AN233" s="38"/>
    </row>
    <row r="234" spans="1:40" ht="12.75" x14ac:dyDescent="0.2">
      <c r="A234" s="26"/>
      <c r="B234" s="38"/>
      <c r="C234" s="296" t="s">
        <v>306</v>
      </c>
      <c r="D234" s="296" t="str">
        <f t="shared" si="131"/>
        <v/>
      </c>
      <c r="E234" s="406" t="str">
        <f t="shared" si="130"/>
        <v/>
      </c>
      <c r="F234" s="415"/>
      <c r="G234" s="415"/>
      <c r="H234" s="415"/>
      <c r="I234" s="415"/>
      <c r="J234" s="415"/>
      <c r="K234" s="415"/>
      <c r="L234" s="415"/>
      <c r="M234" s="38"/>
      <c r="N234" s="403" t="str">
        <f t="shared" si="101"/>
        <v/>
      </c>
      <c r="O234" s="404" t="str">
        <f t="shared" si="102"/>
        <v/>
      </c>
      <c r="P234" s="403" t="str">
        <f t="shared" si="126"/>
        <v/>
      </c>
      <c r="Q234" s="405" t="str">
        <f t="shared" si="103"/>
        <v/>
      </c>
      <c r="R234" s="406" t="str">
        <f t="shared" si="127"/>
        <v/>
      </c>
      <c r="S234" s="404" t="str">
        <f t="shared" si="104"/>
        <v/>
      </c>
      <c r="T234" s="403" t="str">
        <f t="shared" si="105"/>
        <v/>
      </c>
      <c r="U234" s="407" t="str">
        <f t="shared" si="106"/>
        <v/>
      </c>
      <c r="V234" s="408" t="str">
        <f t="shared" si="107"/>
        <v/>
      </c>
      <c r="W234" s="404" t="str">
        <f t="shared" si="108"/>
        <v/>
      </c>
      <c r="X234" s="403" t="str">
        <f t="shared" si="109"/>
        <v/>
      </c>
      <c r="Y234" s="405" t="str">
        <f t="shared" si="110"/>
        <v/>
      </c>
      <c r="Z234" s="406" t="str">
        <f t="shared" si="111"/>
        <v/>
      </c>
      <c r="AA234" s="404" t="str">
        <f t="shared" si="112"/>
        <v/>
      </c>
      <c r="AB234" s="403" t="str">
        <f t="shared" si="113"/>
        <v/>
      </c>
      <c r="AC234" s="405" t="str">
        <f t="shared" si="114"/>
        <v/>
      </c>
      <c r="AD234" s="406" t="str">
        <f t="shared" si="115"/>
        <v/>
      </c>
      <c r="AE234" s="404" t="str">
        <f t="shared" si="116"/>
        <v/>
      </c>
      <c r="AF234" s="403" t="str">
        <f t="shared" si="117"/>
        <v/>
      </c>
      <c r="AG234" s="407" t="str">
        <f t="shared" si="118"/>
        <v/>
      </c>
      <c r="AH234" s="408" t="str">
        <f t="shared" si="119"/>
        <v/>
      </c>
      <c r="AI234" s="404" t="str">
        <f t="shared" si="120"/>
        <v/>
      </c>
      <c r="AJ234" s="403" t="str">
        <f t="shared" si="121"/>
        <v/>
      </c>
      <c r="AK234" s="405" t="str">
        <f t="shared" si="122"/>
        <v/>
      </c>
      <c r="AL234" s="406" t="str">
        <f t="shared" si="123"/>
        <v/>
      </c>
      <c r="AM234" s="419" t="str">
        <f t="shared" si="124"/>
        <v/>
      </c>
      <c r="AN234" s="38"/>
    </row>
    <row r="235" spans="1:40" ht="12.75" x14ac:dyDescent="0.2">
      <c r="A235" s="26"/>
      <c r="B235" s="38"/>
      <c r="C235" s="296" t="s">
        <v>306</v>
      </c>
      <c r="D235" s="296" t="str">
        <f t="shared" si="131"/>
        <v/>
      </c>
      <c r="E235" s="406" t="str">
        <f t="shared" si="130"/>
        <v/>
      </c>
      <c r="F235" s="415"/>
      <c r="G235" s="415"/>
      <c r="H235" s="415"/>
      <c r="I235" s="415"/>
      <c r="J235" s="415"/>
      <c r="K235" s="415"/>
      <c r="L235" s="415"/>
      <c r="M235" s="38"/>
      <c r="N235" s="403" t="str">
        <f t="shared" si="101"/>
        <v/>
      </c>
      <c r="O235" s="404" t="str">
        <f t="shared" si="102"/>
        <v/>
      </c>
      <c r="P235" s="403" t="str">
        <f t="shared" si="126"/>
        <v/>
      </c>
      <c r="Q235" s="405" t="str">
        <f t="shared" si="103"/>
        <v/>
      </c>
      <c r="R235" s="406" t="str">
        <f t="shared" si="127"/>
        <v/>
      </c>
      <c r="S235" s="404" t="str">
        <f t="shared" si="104"/>
        <v/>
      </c>
      <c r="T235" s="403" t="str">
        <f t="shared" si="105"/>
        <v/>
      </c>
      <c r="U235" s="407" t="str">
        <f t="shared" si="106"/>
        <v/>
      </c>
      <c r="V235" s="408" t="str">
        <f t="shared" si="107"/>
        <v/>
      </c>
      <c r="W235" s="404" t="str">
        <f t="shared" si="108"/>
        <v/>
      </c>
      <c r="X235" s="403" t="str">
        <f t="shared" si="109"/>
        <v/>
      </c>
      <c r="Y235" s="405" t="str">
        <f t="shared" si="110"/>
        <v/>
      </c>
      <c r="Z235" s="406" t="str">
        <f t="shared" si="111"/>
        <v/>
      </c>
      <c r="AA235" s="404" t="str">
        <f t="shared" si="112"/>
        <v/>
      </c>
      <c r="AB235" s="403" t="str">
        <f t="shared" si="113"/>
        <v/>
      </c>
      <c r="AC235" s="405" t="str">
        <f t="shared" si="114"/>
        <v/>
      </c>
      <c r="AD235" s="406" t="str">
        <f t="shared" si="115"/>
        <v/>
      </c>
      <c r="AE235" s="404" t="str">
        <f t="shared" si="116"/>
        <v/>
      </c>
      <c r="AF235" s="403" t="str">
        <f t="shared" si="117"/>
        <v/>
      </c>
      <c r="AG235" s="407" t="str">
        <f t="shared" si="118"/>
        <v/>
      </c>
      <c r="AH235" s="408" t="str">
        <f t="shared" si="119"/>
        <v/>
      </c>
      <c r="AI235" s="404" t="str">
        <f t="shared" si="120"/>
        <v/>
      </c>
      <c r="AJ235" s="403" t="str">
        <f t="shared" si="121"/>
        <v/>
      </c>
      <c r="AK235" s="405" t="str">
        <f t="shared" si="122"/>
        <v/>
      </c>
      <c r="AL235" s="406" t="str">
        <f t="shared" si="123"/>
        <v/>
      </c>
      <c r="AM235" s="419" t="str">
        <f t="shared" si="124"/>
        <v/>
      </c>
      <c r="AN235" s="38"/>
    </row>
    <row r="236" spans="1:40" ht="12.75" x14ac:dyDescent="0.2">
      <c r="A236" s="26"/>
      <c r="B236" s="38"/>
      <c r="C236" s="296" t="s">
        <v>306</v>
      </c>
      <c r="D236" s="296" t="str">
        <f t="shared" si="131"/>
        <v/>
      </c>
      <c r="E236" s="406" t="str">
        <f t="shared" si="130"/>
        <v/>
      </c>
      <c r="F236" s="415"/>
      <c r="G236" s="415"/>
      <c r="H236" s="415"/>
      <c r="I236" s="415"/>
      <c r="J236" s="415"/>
      <c r="K236" s="415"/>
      <c r="L236" s="415"/>
      <c r="M236" s="38"/>
      <c r="N236" s="403" t="str">
        <f t="shared" si="101"/>
        <v/>
      </c>
      <c r="O236" s="404" t="str">
        <f t="shared" si="102"/>
        <v/>
      </c>
      <c r="P236" s="403" t="str">
        <f t="shared" si="126"/>
        <v/>
      </c>
      <c r="Q236" s="405" t="str">
        <f t="shared" si="103"/>
        <v/>
      </c>
      <c r="R236" s="406" t="str">
        <f t="shared" si="127"/>
        <v/>
      </c>
      <c r="S236" s="404" t="str">
        <f t="shared" si="104"/>
        <v/>
      </c>
      <c r="T236" s="403" t="str">
        <f t="shared" si="105"/>
        <v/>
      </c>
      <c r="U236" s="407" t="str">
        <f t="shared" si="106"/>
        <v/>
      </c>
      <c r="V236" s="408" t="str">
        <f t="shared" si="107"/>
        <v/>
      </c>
      <c r="W236" s="404" t="str">
        <f t="shared" si="108"/>
        <v/>
      </c>
      <c r="X236" s="403" t="str">
        <f t="shared" si="109"/>
        <v/>
      </c>
      <c r="Y236" s="405" t="str">
        <f t="shared" si="110"/>
        <v/>
      </c>
      <c r="Z236" s="406" t="str">
        <f t="shared" si="111"/>
        <v/>
      </c>
      <c r="AA236" s="404" t="str">
        <f t="shared" si="112"/>
        <v/>
      </c>
      <c r="AB236" s="403" t="str">
        <f t="shared" si="113"/>
        <v/>
      </c>
      <c r="AC236" s="405" t="str">
        <f t="shared" si="114"/>
        <v/>
      </c>
      <c r="AD236" s="406" t="str">
        <f t="shared" si="115"/>
        <v/>
      </c>
      <c r="AE236" s="404" t="str">
        <f t="shared" si="116"/>
        <v/>
      </c>
      <c r="AF236" s="403" t="str">
        <f t="shared" si="117"/>
        <v/>
      </c>
      <c r="AG236" s="407" t="str">
        <f t="shared" si="118"/>
        <v/>
      </c>
      <c r="AH236" s="408" t="str">
        <f t="shared" si="119"/>
        <v/>
      </c>
      <c r="AI236" s="404" t="str">
        <f t="shared" si="120"/>
        <v/>
      </c>
      <c r="AJ236" s="403" t="str">
        <f t="shared" si="121"/>
        <v/>
      </c>
      <c r="AK236" s="405" t="str">
        <f t="shared" si="122"/>
        <v/>
      </c>
      <c r="AL236" s="406" t="str">
        <f t="shared" si="123"/>
        <v/>
      </c>
      <c r="AM236" s="419" t="str">
        <f t="shared" si="124"/>
        <v/>
      </c>
      <c r="AN236" s="38"/>
    </row>
    <row r="237" spans="1:40" ht="12.75" x14ac:dyDescent="0.2">
      <c r="A237" s="26"/>
      <c r="B237" s="38"/>
      <c r="C237" s="296" t="s">
        <v>306</v>
      </c>
      <c r="D237" s="296" t="str">
        <f t="shared" si="131"/>
        <v/>
      </c>
      <c r="E237" s="406" t="str">
        <f t="shared" si="130"/>
        <v/>
      </c>
      <c r="F237" s="415"/>
      <c r="G237" s="415"/>
      <c r="H237" s="415"/>
      <c r="I237" s="415"/>
      <c r="J237" s="415"/>
      <c r="K237" s="415"/>
      <c r="L237" s="415"/>
      <c r="M237" s="38"/>
      <c r="N237" s="403" t="str">
        <f t="shared" si="101"/>
        <v/>
      </c>
      <c r="O237" s="404" t="str">
        <f t="shared" si="102"/>
        <v/>
      </c>
      <c r="P237" s="403" t="str">
        <f t="shared" si="126"/>
        <v/>
      </c>
      <c r="Q237" s="405" t="str">
        <f t="shared" si="103"/>
        <v/>
      </c>
      <c r="R237" s="406" t="str">
        <f t="shared" si="127"/>
        <v/>
      </c>
      <c r="S237" s="404" t="str">
        <f t="shared" si="104"/>
        <v/>
      </c>
      <c r="T237" s="403" t="str">
        <f t="shared" si="105"/>
        <v/>
      </c>
      <c r="U237" s="407" t="str">
        <f t="shared" si="106"/>
        <v/>
      </c>
      <c r="V237" s="408" t="str">
        <f t="shared" si="107"/>
        <v/>
      </c>
      <c r="W237" s="404" t="str">
        <f t="shared" si="108"/>
        <v/>
      </c>
      <c r="X237" s="403" t="str">
        <f t="shared" si="109"/>
        <v/>
      </c>
      <c r="Y237" s="405" t="str">
        <f t="shared" si="110"/>
        <v/>
      </c>
      <c r="Z237" s="406" t="str">
        <f t="shared" si="111"/>
        <v/>
      </c>
      <c r="AA237" s="404" t="str">
        <f t="shared" si="112"/>
        <v/>
      </c>
      <c r="AB237" s="403" t="str">
        <f t="shared" si="113"/>
        <v/>
      </c>
      <c r="AC237" s="405" t="str">
        <f t="shared" si="114"/>
        <v/>
      </c>
      <c r="AD237" s="406" t="str">
        <f t="shared" si="115"/>
        <v/>
      </c>
      <c r="AE237" s="404" t="str">
        <f t="shared" si="116"/>
        <v/>
      </c>
      <c r="AF237" s="403" t="str">
        <f t="shared" si="117"/>
        <v/>
      </c>
      <c r="AG237" s="407" t="str">
        <f t="shared" si="118"/>
        <v/>
      </c>
      <c r="AH237" s="408" t="str">
        <f t="shared" si="119"/>
        <v/>
      </c>
      <c r="AI237" s="404" t="str">
        <f t="shared" si="120"/>
        <v/>
      </c>
      <c r="AJ237" s="403" t="str">
        <f t="shared" si="121"/>
        <v/>
      </c>
      <c r="AK237" s="405" t="str">
        <f t="shared" si="122"/>
        <v/>
      </c>
      <c r="AL237" s="406" t="str">
        <f t="shared" si="123"/>
        <v/>
      </c>
      <c r="AM237" s="419" t="str">
        <f t="shared" si="124"/>
        <v/>
      </c>
      <c r="AN237" s="38"/>
    </row>
    <row r="238" spans="1:40" ht="12.75" x14ac:dyDescent="0.2">
      <c r="A238" s="26"/>
      <c r="B238" s="38"/>
      <c r="C238" s="296" t="s">
        <v>306</v>
      </c>
      <c r="D238" s="296" t="str">
        <f t="shared" si="131"/>
        <v/>
      </c>
      <c r="E238" s="406" t="str">
        <f t="shared" si="130"/>
        <v/>
      </c>
      <c r="F238" s="415"/>
      <c r="G238" s="415"/>
      <c r="H238" s="415"/>
      <c r="I238" s="415"/>
      <c r="J238" s="415"/>
      <c r="K238" s="415"/>
      <c r="L238" s="415"/>
      <c r="M238" s="38"/>
      <c r="N238" s="403" t="str">
        <f t="shared" si="101"/>
        <v/>
      </c>
      <c r="O238" s="404" t="str">
        <f t="shared" si="102"/>
        <v/>
      </c>
      <c r="P238" s="403" t="str">
        <f t="shared" si="126"/>
        <v/>
      </c>
      <c r="Q238" s="405" t="str">
        <f t="shared" si="103"/>
        <v/>
      </c>
      <c r="R238" s="406" t="str">
        <f t="shared" si="127"/>
        <v/>
      </c>
      <c r="S238" s="404" t="str">
        <f t="shared" si="104"/>
        <v/>
      </c>
      <c r="T238" s="403" t="str">
        <f t="shared" si="105"/>
        <v/>
      </c>
      <c r="U238" s="407" t="str">
        <f t="shared" si="106"/>
        <v/>
      </c>
      <c r="V238" s="408" t="str">
        <f t="shared" si="107"/>
        <v/>
      </c>
      <c r="W238" s="404" t="str">
        <f t="shared" si="108"/>
        <v/>
      </c>
      <c r="X238" s="403" t="str">
        <f t="shared" si="109"/>
        <v/>
      </c>
      <c r="Y238" s="405" t="str">
        <f t="shared" si="110"/>
        <v/>
      </c>
      <c r="Z238" s="406" t="str">
        <f t="shared" si="111"/>
        <v/>
      </c>
      <c r="AA238" s="404" t="str">
        <f t="shared" si="112"/>
        <v/>
      </c>
      <c r="AB238" s="403" t="str">
        <f t="shared" si="113"/>
        <v/>
      </c>
      <c r="AC238" s="405" t="str">
        <f t="shared" si="114"/>
        <v/>
      </c>
      <c r="AD238" s="406" t="str">
        <f t="shared" si="115"/>
        <v/>
      </c>
      <c r="AE238" s="404" t="str">
        <f t="shared" si="116"/>
        <v/>
      </c>
      <c r="AF238" s="403" t="str">
        <f t="shared" si="117"/>
        <v/>
      </c>
      <c r="AG238" s="407" t="str">
        <f t="shared" si="118"/>
        <v/>
      </c>
      <c r="AH238" s="408" t="str">
        <f t="shared" si="119"/>
        <v/>
      </c>
      <c r="AI238" s="404" t="str">
        <f t="shared" si="120"/>
        <v/>
      </c>
      <c r="AJ238" s="403" t="str">
        <f t="shared" si="121"/>
        <v/>
      </c>
      <c r="AK238" s="405" t="str">
        <f t="shared" si="122"/>
        <v/>
      </c>
      <c r="AL238" s="406" t="str">
        <f t="shared" si="123"/>
        <v/>
      </c>
      <c r="AM238" s="419" t="str">
        <f t="shared" si="124"/>
        <v/>
      </c>
      <c r="AN238" s="38"/>
    </row>
    <row r="239" spans="1:40" ht="12.75" x14ac:dyDescent="0.2">
      <c r="A239" s="26"/>
      <c r="B239" s="38"/>
      <c r="C239" s="296" t="s">
        <v>306</v>
      </c>
      <c r="D239" s="296" t="str">
        <f t="shared" si="131"/>
        <v/>
      </c>
      <c r="E239" s="406" t="str">
        <f t="shared" si="130"/>
        <v/>
      </c>
      <c r="F239" s="415"/>
      <c r="G239" s="415"/>
      <c r="H239" s="415"/>
      <c r="I239" s="415"/>
      <c r="J239" s="415"/>
      <c r="K239" s="415"/>
      <c r="L239" s="415"/>
      <c r="M239" s="38"/>
      <c r="N239" s="403" t="str">
        <f t="shared" si="101"/>
        <v/>
      </c>
      <c r="O239" s="404" t="str">
        <f t="shared" si="102"/>
        <v/>
      </c>
      <c r="P239" s="403" t="str">
        <f t="shared" si="126"/>
        <v/>
      </c>
      <c r="Q239" s="405" t="str">
        <f t="shared" si="103"/>
        <v/>
      </c>
      <c r="R239" s="406" t="str">
        <f t="shared" si="127"/>
        <v/>
      </c>
      <c r="S239" s="404" t="str">
        <f t="shared" si="104"/>
        <v/>
      </c>
      <c r="T239" s="403" t="str">
        <f t="shared" si="105"/>
        <v/>
      </c>
      <c r="U239" s="407" t="str">
        <f t="shared" si="106"/>
        <v/>
      </c>
      <c r="V239" s="408" t="str">
        <f t="shared" si="107"/>
        <v/>
      </c>
      <c r="W239" s="404" t="str">
        <f t="shared" si="108"/>
        <v/>
      </c>
      <c r="X239" s="403" t="str">
        <f t="shared" si="109"/>
        <v/>
      </c>
      <c r="Y239" s="405" t="str">
        <f t="shared" si="110"/>
        <v/>
      </c>
      <c r="Z239" s="406" t="str">
        <f t="shared" si="111"/>
        <v/>
      </c>
      <c r="AA239" s="404" t="str">
        <f t="shared" si="112"/>
        <v/>
      </c>
      <c r="AB239" s="403" t="str">
        <f t="shared" si="113"/>
        <v/>
      </c>
      <c r="AC239" s="405" t="str">
        <f t="shared" si="114"/>
        <v/>
      </c>
      <c r="AD239" s="406" t="str">
        <f t="shared" si="115"/>
        <v/>
      </c>
      <c r="AE239" s="404" t="str">
        <f t="shared" si="116"/>
        <v/>
      </c>
      <c r="AF239" s="403" t="str">
        <f t="shared" si="117"/>
        <v/>
      </c>
      <c r="AG239" s="407" t="str">
        <f t="shared" si="118"/>
        <v/>
      </c>
      <c r="AH239" s="408" t="str">
        <f t="shared" si="119"/>
        <v/>
      </c>
      <c r="AI239" s="404" t="str">
        <f t="shared" si="120"/>
        <v/>
      </c>
      <c r="AJ239" s="403" t="str">
        <f t="shared" si="121"/>
        <v/>
      </c>
      <c r="AK239" s="405" t="str">
        <f t="shared" si="122"/>
        <v/>
      </c>
      <c r="AL239" s="406" t="str">
        <f t="shared" si="123"/>
        <v/>
      </c>
      <c r="AM239" s="419" t="str">
        <f t="shared" si="124"/>
        <v/>
      </c>
      <c r="AN239" s="38"/>
    </row>
    <row r="240" spans="1:40" ht="12.75" x14ac:dyDescent="0.2">
      <c r="A240" s="26"/>
      <c r="B240" s="38"/>
      <c r="C240" s="296" t="s">
        <v>637</v>
      </c>
      <c r="D240" s="296" t="str">
        <f t="shared" si="131"/>
        <v>Jerberra Electricity Infrastructure</v>
      </c>
      <c r="E240" s="406">
        <f t="shared" si="130"/>
        <v>1.0000000000000001E-5</v>
      </c>
      <c r="F240" s="415"/>
      <c r="G240" s="415"/>
      <c r="H240" s="415"/>
      <c r="I240" s="415"/>
      <c r="J240" s="415"/>
      <c r="K240" s="415"/>
      <c r="L240" s="415"/>
      <c r="M240" s="38"/>
      <c r="N240" s="403" t="str">
        <f t="shared" si="101"/>
        <v/>
      </c>
      <c r="O240" s="404" t="str">
        <f t="shared" si="102"/>
        <v/>
      </c>
      <c r="P240" s="403" t="str">
        <f t="shared" si="126"/>
        <v/>
      </c>
      <c r="Q240" s="405" t="str">
        <f t="shared" si="103"/>
        <v/>
      </c>
      <c r="R240" s="406" t="str">
        <f t="shared" si="127"/>
        <v/>
      </c>
      <c r="S240" s="404" t="str">
        <f t="shared" si="104"/>
        <v/>
      </c>
      <c r="T240" s="403" t="str">
        <f t="shared" si="105"/>
        <v/>
      </c>
      <c r="U240" s="407" t="str">
        <f t="shared" si="106"/>
        <v/>
      </c>
      <c r="V240" s="408" t="str">
        <f t="shared" si="107"/>
        <v/>
      </c>
      <c r="W240" s="404" t="str">
        <f t="shared" si="108"/>
        <v/>
      </c>
      <c r="X240" s="403" t="str">
        <f t="shared" si="109"/>
        <v/>
      </c>
      <c r="Y240" s="405" t="str">
        <f t="shared" si="110"/>
        <v/>
      </c>
      <c r="Z240" s="406" t="str">
        <f t="shared" si="111"/>
        <v/>
      </c>
      <c r="AA240" s="404" t="str">
        <f t="shared" si="112"/>
        <v/>
      </c>
      <c r="AB240" s="403" t="str">
        <f t="shared" si="113"/>
        <v/>
      </c>
      <c r="AC240" s="405" t="str">
        <f t="shared" si="114"/>
        <v/>
      </c>
      <c r="AD240" s="406" t="str">
        <f t="shared" si="115"/>
        <v/>
      </c>
      <c r="AE240" s="404" t="str">
        <f t="shared" si="116"/>
        <v/>
      </c>
      <c r="AF240" s="403" t="str">
        <f t="shared" si="117"/>
        <v/>
      </c>
      <c r="AG240" s="407" t="str">
        <f t="shared" si="118"/>
        <v/>
      </c>
      <c r="AH240" s="408" t="str">
        <f t="shared" si="119"/>
        <v/>
      </c>
      <c r="AI240" s="404" t="str">
        <f t="shared" si="120"/>
        <v/>
      </c>
      <c r="AJ240" s="403" t="str">
        <f t="shared" si="121"/>
        <v/>
      </c>
      <c r="AK240" s="405" t="str">
        <f t="shared" si="122"/>
        <v/>
      </c>
      <c r="AL240" s="406" t="str">
        <f t="shared" si="123"/>
        <v/>
      </c>
      <c r="AM240" s="419" t="str">
        <f t="shared" si="124"/>
        <v/>
      </c>
      <c r="AN240" s="38"/>
    </row>
    <row r="241" spans="1:40" ht="12.75" x14ac:dyDescent="0.2">
      <c r="A241" s="26"/>
      <c r="B241" s="38"/>
      <c r="C241" s="296" t="s">
        <v>637</v>
      </c>
      <c r="D241" s="296" t="str">
        <f t="shared" si="131"/>
        <v>Jerberra Road - E2 Infrastructure</v>
      </c>
      <c r="E241" s="406">
        <f t="shared" si="130"/>
        <v>1.0000000000000001E-5</v>
      </c>
      <c r="F241" s="415"/>
      <c r="G241" s="415"/>
      <c r="H241" s="415"/>
      <c r="I241" s="415"/>
      <c r="J241" s="415"/>
      <c r="K241" s="415"/>
      <c r="L241" s="415"/>
      <c r="M241" s="38"/>
      <c r="N241" s="403" t="str">
        <f t="shared" si="101"/>
        <v/>
      </c>
      <c r="O241" s="404" t="str">
        <f t="shared" si="102"/>
        <v/>
      </c>
      <c r="P241" s="403" t="str">
        <f t="shared" si="126"/>
        <v/>
      </c>
      <c r="Q241" s="405" t="str">
        <f t="shared" si="103"/>
        <v/>
      </c>
      <c r="R241" s="406" t="str">
        <f t="shared" si="127"/>
        <v/>
      </c>
      <c r="S241" s="404" t="str">
        <f t="shared" si="104"/>
        <v/>
      </c>
      <c r="T241" s="403" t="str">
        <f t="shared" si="105"/>
        <v/>
      </c>
      <c r="U241" s="407" t="str">
        <f t="shared" si="106"/>
        <v/>
      </c>
      <c r="V241" s="408" t="str">
        <f t="shared" si="107"/>
        <v/>
      </c>
      <c r="W241" s="404" t="str">
        <f t="shared" si="108"/>
        <v/>
      </c>
      <c r="X241" s="403" t="str">
        <f t="shared" si="109"/>
        <v/>
      </c>
      <c r="Y241" s="405" t="str">
        <f t="shared" si="110"/>
        <v/>
      </c>
      <c r="Z241" s="406" t="str">
        <f t="shared" si="111"/>
        <v/>
      </c>
      <c r="AA241" s="404" t="str">
        <f t="shared" si="112"/>
        <v/>
      </c>
      <c r="AB241" s="403" t="str">
        <f t="shared" si="113"/>
        <v/>
      </c>
      <c r="AC241" s="405" t="str">
        <f t="shared" si="114"/>
        <v/>
      </c>
      <c r="AD241" s="406" t="str">
        <f t="shared" si="115"/>
        <v/>
      </c>
      <c r="AE241" s="404" t="str">
        <f t="shared" si="116"/>
        <v/>
      </c>
      <c r="AF241" s="403" t="str">
        <f t="shared" si="117"/>
        <v/>
      </c>
      <c r="AG241" s="407" t="str">
        <f t="shared" si="118"/>
        <v/>
      </c>
      <c r="AH241" s="408" t="str">
        <f t="shared" si="119"/>
        <v/>
      </c>
      <c r="AI241" s="404" t="str">
        <f t="shared" si="120"/>
        <v/>
      </c>
      <c r="AJ241" s="403" t="str">
        <f t="shared" si="121"/>
        <v/>
      </c>
      <c r="AK241" s="405" t="str">
        <f t="shared" si="122"/>
        <v/>
      </c>
      <c r="AL241" s="406" t="str">
        <f t="shared" si="123"/>
        <v/>
      </c>
      <c r="AM241" s="419" t="str">
        <f t="shared" si="124"/>
        <v/>
      </c>
      <c r="AN241" s="38"/>
    </row>
    <row r="242" spans="1:40" ht="12.75" x14ac:dyDescent="0.2">
      <c r="A242" s="26"/>
      <c r="B242" s="38"/>
      <c r="C242" s="296" t="s">
        <v>637</v>
      </c>
      <c r="D242" s="296" t="str">
        <f t="shared" si="131"/>
        <v/>
      </c>
      <c r="E242" s="406" t="str">
        <f t="shared" si="130"/>
        <v/>
      </c>
      <c r="F242" s="415"/>
      <c r="G242" s="415"/>
      <c r="H242" s="415"/>
      <c r="I242" s="415"/>
      <c r="J242" s="415"/>
      <c r="K242" s="415"/>
      <c r="L242" s="415"/>
      <c r="M242" s="38"/>
      <c r="N242" s="403" t="str">
        <f t="shared" si="101"/>
        <v/>
      </c>
      <c r="O242" s="404" t="str">
        <f t="shared" si="102"/>
        <v/>
      </c>
      <c r="P242" s="403" t="str">
        <f t="shared" si="126"/>
        <v/>
      </c>
      <c r="Q242" s="405" t="str">
        <f t="shared" si="103"/>
        <v/>
      </c>
      <c r="R242" s="406" t="str">
        <f t="shared" si="127"/>
        <v/>
      </c>
      <c r="S242" s="404" t="str">
        <f t="shared" si="104"/>
        <v/>
      </c>
      <c r="T242" s="403" t="str">
        <f t="shared" si="105"/>
        <v/>
      </c>
      <c r="U242" s="407" t="str">
        <f t="shared" si="106"/>
        <v/>
      </c>
      <c r="V242" s="408" t="str">
        <f t="shared" si="107"/>
        <v/>
      </c>
      <c r="W242" s="404" t="str">
        <f t="shared" si="108"/>
        <v/>
      </c>
      <c r="X242" s="403" t="str">
        <f t="shared" si="109"/>
        <v/>
      </c>
      <c r="Y242" s="405" t="str">
        <f t="shared" si="110"/>
        <v/>
      </c>
      <c r="Z242" s="406" t="str">
        <f t="shared" si="111"/>
        <v/>
      </c>
      <c r="AA242" s="404" t="str">
        <f t="shared" si="112"/>
        <v/>
      </c>
      <c r="AB242" s="403" t="str">
        <f t="shared" si="113"/>
        <v/>
      </c>
      <c r="AC242" s="405" t="str">
        <f t="shared" si="114"/>
        <v/>
      </c>
      <c r="AD242" s="406" t="str">
        <f t="shared" si="115"/>
        <v/>
      </c>
      <c r="AE242" s="404" t="str">
        <f t="shared" si="116"/>
        <v/>
      </c>
      <c r="AF242" s="403" t="str">
        <f t="shared" si="117"/>
        <v/>
      </c>
      <c r="AG242" s="407" t="str">
        <f t="shared" si="118"/>
        <v/>
      </c>
      <c r="AH242" s="408" t="str">
        <f t="shared" si="119"/>
        <v/>
      </c>
      <c r="AI242" s="404" t="str">
        <f t="shared" si="120"/>
        <v/>
      </c>
      <c r="AJ242" s="403" t="str">
        <f t="shared" si="121"/>
        <v/>
      </c>
      <c r="AK242" s="405" t="str">
        <f t="shared" si="122"/>
        <v/>
      </c>
      <c r="AL242" s="406" t="str">
        <f t="shared" si="123"/>
        <v/>
      </c>
      <c r="AM242" s="419" t="str">
        <f t="shared" si="124"/>
        <v/>
      </c>
      <c r="AN242" s="38"/>
    </row>
    <row r="243" spans="1:40" ht="12.75" x14ac:dyDescent="0.2">
      <c r="A243" s="26"/>
      <c r="B243" s="38"/>
      <c r="C243" s="296" t="s">
        <v>637</v>
      </c>
      <c r="D243" s="296" t="str">
        <f t="shared" si="131"/>
        <v/>
      </c>
      <c r="E243" s="406" t="str">
        <f t="shared" si="130"/>
        <v/>
      </c>
      <c r="F243" s="415"/>
      <c r="G243" s="415"/>
      <c r="H243" s="415"/>
      <c r="I243" s="415"/>
      <c r="J243" s="415"/>
      <c r="K243" s="415"/>
      <c r="L243" s="415"/>
      <c r="M243" s="38"/>
      <c r="N243" s="403" t="str">
        <f t="shared" si="101"/>
        <v/>
      </c>
      <c r="O243" s="404" t="str">
        <f t="shared" si="102"/>
        <v/>
      </c>
      <c r="P243" s="403" t="str">
        <f t="shared" si="126"/>
        <v/>
      </c>
      <c r="Q243" s="405" t="str">
        <f t="shared" si="103"/>
        <v/>
      </c>
      <c r="R243" s="406" t="str">
        <f t="shared" si="127"/>
        <v/>
      </c>
      <c r="S243" s="404" t="str">
        <f t="shared" si="104"/>
        <v/>
      </c>
      <c r="T243" s="403" t="str">
        <f t="shared" si="105"/>
        <v/>
      </c>
      <c r="U243" s="407" t="str">
        <f t="shared" si="106"/>
        <v/>
      </c>
      <c r="V243" s="408" t="str">
        <f t="shared" si="107"/>
        <v/>
      </c>
      <c r="W243" s="404" t="str">
        <f t="shared" si="108"/>
        <v/>
      </c>
      <c r="X243" s="403" t="str">
        <f t="shared" si="109"/>
        <v/>
      </c>
      <c r="Y243" s="405" t="str">
        <f t="shared" si="110"/>
        <v/>
      </c>
      <c r="Z243" s="406" t="str">
        <f t="shared" si="111"/>
        <v/>
      </c>
      <c r="AA243" s="404" t="str">
        <f t="shared" si="112"/>
        <v/>
      </c>
      <c r="AB243" s="403" t="str">
        <f t="shared" si="113"/>
        <v/>
      </c>
      <c r="AC243" s="405" t="str">
        <f t="shared" si="114"/>
        <v/>
      </c>
      <c r="AD243" s="406" t="str">
        <f t="shared" si="115"/>
        <v/>
      </c>
      <c r="AE243" s="404" t="str">
        <f t="shared" si="116"/>
        <v/>
      </c>
      <c r="AF243" s="403" t="str">
        <f t="shared" si="117"/>
        <v/>
      </c>
      <c r="AG243" s="407" t="str">
        <f t="shared" si="118"/>
        <v/>
      </c>
      <c r="AH243" s="408" t="str">
        <f t="shared" si="119"/>
        <v/>
      </c>
      <c r="AI243" s="404" t="str">
        <f t="shared" si="120"/>
        <v/>
      </c>
      <c r="AJ243" s="403" t="str">
        <f t="shared" si="121"/>
        <v/>
      </c>
      <c r="AK243" s="405" t="str">
        <f t="shared" si="122"/>
        <v/>
      </c>
      <c r="AL243" s="406" t="str">
        <f t="shared" si="123"/>
        <v/>
      </c>
      <c r="AM243" s="419" t="str">
        <f t="shared" si="124"/>
        <v/>
      </c>
      <c r="AN243" s="38"/>
    </row>
    <row r="244" spans="1:40" ht="12.75" x14ac:dyDescent="0.2">
      <c r="A244" s="26"/>
      <c r="B244" s="38"/>
      <c r="C244" s="296" t="s">
        <v>637</v>
      </c>
      <c r="D244" s="296" t="str">
        <f t="shared" si="131"/>
        <v/>
      </c>
      <c r="E244" s="406" t="str">
        <f t="shared" si="130"/>
        <v/>
      </c>
      <c r="F244" s="415"/>
      <c r="G244" s="415"/>
      <c r="H244" s="415"/>
      <c r="I244" s="415"/>
      <c r="J244" s="415"/>
      <c r="K244" s="415"/>
      <c r="L244" s="415"/>
      <c r="M244" s="38"/>
      <c r="N244" s="403" t="str">
        <f t="shared" si="101"/>
        <v/>
      </c>
      <c r="O244" s="404" t="str">
        <f t="shared" si="102"/>
        <v/>
      </c>
      <c r="P244" s="403" t="str">
        <f t="shared" si="126"/>
        <v/>
      </c>
      <c r="Q244" s="405" t="str">
        <f t="shared" si="103"/>
        <v/>
      </c>
      <c r="R244" s="406" t="str">
        <f t="shared" si="127"/>
        <v/>
      </c>
      <c r="S244" s="404" t="str">
        <f t="shared" si="104"/>
        <v/>
      </c>
      <c r="T244" s="403" t="str">
        <f t="shared" si="105"/>
        <v/>
      </c>
      <c r="U244" s="407" t="str">
        <f t="shared" si="106"/>
        <v/>
      </c>
      <c r="V244" s="408" t="str">
        <f t="shared" si="107"/>
        <v/>
      </c>
      <c r="W244" s="404" t="str">
        <f t="shared" si="108"/>
        <v/>
      </c>
      <c r="X244" s="403" t="str">
        <f t="shared" si="109"/>
        <v/>
      </c>
      <c r="Y244" s="405" t="str">
        <f t="shared" si="110"/>
        <v/>
      </c>
      <c r="Z244" s="406" t="str">
        <f t="shared" si="111"/>
        <v/>
      </c>
      <c r="AA244" s="404" t="str">
        <f t="shared" si="112"/>
        <v/>
      </c>
      <c r="AB244" s="403" t="str">
        <f t="shared" si="113"/>
        <v/>
      </c>
      <c r="AC244" s="405" t="str">
        <f t="shared" si="114"/>
        <v/>
      </c>
      <c r="AD244" s="406" t="str">
        <f t="shared" si="115"/>
        <v/>
      </c>
      <c r="AE244" s="404" t="str">
        <f t="shared" si="116"/>
        <v/>
      </c>
      <c r="AF244" s="403" t="str">
        <f t="shared" si="117"/>
        <v/>
      </c>
      <c r="AG244" s="407" t="str">
        <f t="shared" si="118"/>
        <v/>
      </c>
      <c r="AH244" s="408" t="str">
        <f t="shared" si="119"/>
        <v/>
      </c>
      <c r="AI244" s="404" t="str">
        <f t="shared" si="120"/>
        <v/>
      </c>
      <c r="AJ244" s="403" t="str">
        <f t="shared" si="121"/>
        <v/>
      </c>
      <c r="AK244" s="405" t="str">
        <f t="shared" si="122"/>
        <v/>
      </c>
      <c r="AL244" s="406" t="str">
        <f t="shared" si="123"/>
        <v/>
      </c>
      <c r="AM244" s="419" t="str">
        <f t="shared" si="124"/>
        <v/>
      </c>
      <c r="AN244" s="38"/>
    </row>
    <row r="245" spans="1:40" ht="12.75" x14ac:dyDescent="0.2">
      <c r="A245" s="26"/>
      <c r="B245" s="38"/>
      <c r="C245" s="296" t="s">
        <v>637</v>
      </c>
      <c r="D245" s="296" t="str">
        <f t="shared" si="131"/>
        <v/>
      </c>
      <c r="E245" s="406" t="str">
        <f t="shared" si="130"/>
        <v/>
      </c>
      <c r="F245" s="415"/>
      <c r="G245" s="415"/>
      <c r="H245" s="415"/>
      <c r="I245" s="415"/>
      <c r="J245" s="415"/>
      <c r="K245" s="415"/>
      <c r="L245" s="415"/>
      <c r="M245" s="38"/>
      <c r="N245" s="403" t="str">
        <f t="shared" si="101"/>
        <v/>
      </c>
      <c r="O245" s="404" t="str">
        <f t="shared" si="102"/>
        <v/>
      </c>
      <c r="P245" s="403" t="str">
        <f t="shared" si="126"/>
        <v/>
      </c>
      <c r="Q245" s="405" t="str">
        <f t="shared" si="103"/>
        <v/>
      </c>
      <c r="R245" s="406" t="str">
        <f t="shared" si="127"/>
        <v/>
      </c>
      <c r="S245" s="404" t="str">
        <f t="shared" si="104"/>
        <v/>
      </c>
      <c r="T245" s="403" t="str">
        <f t="shared" si="105"/>
        <v/>
      </c>
      <c r="U245" s="407" t="str">
        <f t="shared" si="106"/>
        <v/>
      </c>
      <c r="V245" s="408" t="str">
        <f t="shared" si="107"/>
        <v/>
      </c>
      <c r="W245" s="404" t="str">
        <f t="shared" si="108"/>
        <v/>
      </c>
      <c r="X245" s="403" t="str">
        <f t="shared" si="109"/>
        <v/>
      </c>
      <c r="Y245" s="405" t="str">
        <f t="shared" si="110"/>
        <v/>
      </c>
      <c r="Z245" s="406" t="str">
        <f t="shared" si="111"/>
        <v/>
      </c>
      <c r="AA245" s="404" t="str">
        <f t="shared" si="112"/>
        <v/>
      </c>
      <c r="AB245" s="403" t="str">
        <f t="shared" si="113"/>
        <v/>
      </c>
      <c r="AC245" s="405" t="str">
        <f t="shared" si="114"/>
        <v/>
      </c>
      <c r="AD245" s="406" t="str">
        <f t="shared" si="115"/>
        <v/>
      </c>
      <c r="AE245" s="404" t="str">
        <f t="shared" si="116"/>
        <v/>
      </c>
      <c r="AF245" s="403" t="str">
        <f t="shared" si="117"/>
        <v/>
      </c>
      <c r="AG245" s="407" t="str">
        <f t="shared" si="118"/>
        <v/>
      </c>
      <c r="AH245" s="408" t="str">
        <f t="shared" si="119"/>
        <v/>
      </c>
      <c r="AI245" s="404" t="str">
        <f t="shared" si="120"/>
        <v/>
      </c>
      <c r="AJ245" s="403" t="str">
        <f t="shared" si="121"/>
        <v/>
      </c>
      <c r="AK245" s="405" t="str">
        <f t="shared" si="122"/>
        <v/>
      </c>
      <c r="AL245" s="406" t="str">
        <f t="shared" si="123"/>
        <v/>
      </c>
      <c r="AM245" s="419" t="str">
        <f t="shared" si="124"/>
        <v/>
      </c>
      <c r="AN245" s="38"/>
    </row>
    <row r="246" spans="1:40" ht="12.75" x14ac:dyDescent="0.2">
      <c r="A246" s="26"/>
      <c r="B246" s="38"/>
      <c r="C246" s="296" t="s">
        <v>637</v>
      </c>
      <c r="D246" s="296" t="str">
        <f t="shared" si="131"/>
        <v/>
      </c>
      <c r="E246" s="406" t="str">
        <f t="shared" si="130"/>
        <v/>
      </c>
      <c r="F246" s="415"/>
      <c r="G246" s="415"/>
      <c r="H246" s="415"/>
      <c r="I246" s="415"/>
      <c r="J246" s="415"/>
      <c r="K246" s="415"/>
      <c r="L246" s="415"/>
      <c r="M246" s="38"/>
      <c r="N246" s="403" t="str">
        <f t="shared" si="101"/>
        <v/>
      </c>
      <c r="O246" s="404" t="str">
        <f t="shared" si="102"/>
        <v/>
      </c>
      <c r="P246" s="403" t="str">
        <f t="shared" si="126"/>
        <v/>
      </c>
      <c r="Q246" s="405" t="str">
        <f t="shared" si="103"/>
        <v/>
      </c>
      <c r="R246" s="406" t="str">
        <f t="shared" si="127"/>
        <v/>
      </c>
      <c r="S246" s="404" t="str">
        <f t="shared" si="104"/>
        <v/>
      </c>
      <c r="T246" s="403" t="str">
        <f t="shared" si="105"/>
        <v/>
      </c>
      <c r="U246" s="407" t="str">
        <f t="shared" si="106"/>
        <v/>
      </c>
      <c r="V246" s="408" t="str">
        <f t="shared" si="107"/>
        <v/>
      </c>
      <c r="W246" s="404" t="str">
        <f t="shared" si="108"/>
        <v/>
      </c>
      <c r="X246" s="403" t="str">
        <f t="shared" si="109"/>
        <v/>
      </c>
      <c r="Y246" s="405" t="str">
        <f t="shared" si="110"/>
        <v/>
      </c>
      <c r="Z246" s="406" t="str">
        <f t="shared" si="111"/>
        <v/>
      </c>
      <c r="AA246" s="404" t="str">
        <f t="shared" si="112"/>
        <v/>
      </c>
      <c r="AB246" s="403" t="str">
        <f t="shared" si="113"/>
        <v/>
      </c>
      <c r="AC246" s="405" t="str">
        <f t="shared" si="114"/>
        <v/>
      </c>
      <c r="AD246" s="406" t="str">
        <f t="shared" si="115"/>
        <v/>
      </c>
      <c r="AE246" s="404" t="str">
        <f t="shared" si="116"/>
        <v/>
      </c>
      <c r="AF246" s="403" t="str">
        <f t="shared" si="117"/>
        <v/>
      </c>
      <c r="AG246" s="407" t="str">
        <f t="shared" si="118"/>
        <v/>
      </c>
      <c r="AH246" s="408" t="str">
        <f t="shared" si="119"/>
        <v/>
      </c>
      <c r="AI246" s="404" t="str">
        <f t="shared" si="120"/>
        <v/>
      </c>
      <c r="AJ246" s="403" t="str">
        <f t="shared" si="121"/>
        <v/>
      </c>
      <c r="AK246" s="405" t="str">
        <f t="shared" si="122"/>
        <v/>
      </c>
      <c r="AL246" s="406" t="str">
        <f t="shared" si="123"/>
        <v/>
      </c>
      <c r="AM246" s="419" t="str">
        <f t="shared" si="124"/>
        <v/>
      </c>
      <c r="AN246" s="38"/>
    </row>
    <row r="247" spans="1:40" ht="12.75" x14ac:dyDescent="0.2">
      <c r="A247" s="26"/>
      <c r="B247" s="38"/>
      <c r="C247" s="296" t="s">
        <v>637</v>
      </c>
      <c r="D247" s="296" t="str">
        <f t="shared" si="131"/>
        <v/>
      </c>
      <c r="E247" s="406" t="str">
        <f t="shared" si="130"/>
        <v/>
      </c>
      <c r="F247" s="415"/>
      <c r="G247" s="415"/>
      <c r="H247" s="415"/>
      <c r="I247" s="415"/>
      <c r="J247" s="415"/>
      <c r="K247" s="415"/>
      <c r="L247" s="415"/>
      <c r="M247" s="38"/>
      <c r="N247" s="403" t="str">
        <f t="shared" si="101"/>
        <v/>
      </c>
      <c r="O247" s="404" t="str">
        <f t="shared" si="102"/>
        <v/>
      </c>
      <c r="P247" s="403" t="str">
        <f t="shared" si="126"/>
        <v/>
      </c>
      <c r="Q247" s="405" t="str">
        <f t="shared" si="103"/>
        <v/>
      </c>
      <c r="R247" s="406" t="str">
        <f t="shared" si="127"/>
        <v/>
      </c>
      <c r="S247" s="404" t="str">
        <f t="shared" si="104"/>
        <v/>
      </c>
      <c r="T247" s="403" t="str">
        <f t="shared" si="105"/>
        <v/>
      </c>
      <c r="U247" s="407" t="str">
        <f t="shared" si="106"/>
        <v/>
      </c>
      <c r="V247" s="408" t="str">
        <f t="shared" si="107"/>
        <v/>
      </c>
      <c r="W247" s="404" t="str">
        <f t="shared" si="108"/>
        <v/>
      </c>
      <c r="X247" s="403" t="str">
        <f t="shared" si="109"/>
        <v/>
      </c>
      <c r="Y247" s="405" t="str">
        <f t="shared" si="110"/>
        <v/>
      </c>
      <c r="Z247" s="406" t="str">
        <f t="shared" si="111"/>
        <v/>
      </c>
      <c r="AA247" s="404" t="str">
        <f t="shared" si="112"/>
        <v/>
      </c>
      <c r="AB247" s="403" t="str">
        <f t="shared" si="113"/>
        <v/>
      </c>
      <c r="AC247" s="405" t="str">
        <f t="shared" si="114"/>
        <v/>
      </c>
      <c r="AD247" s="406" t="str">
        <f t="shared" si="115"/>
        <v/>
      </c>
      <c r="AE247" s="404" t="str">
        <f t="shared" si="116"/>
        <v/>
      </c>
      <c r="AF247" s="403" t="str">
        <f t="shared" si="117"/>
        <v/>
      </c>
      <c r="AG247" s="407" t="str">
        <f t="shared" si="118"/>
        <v/>
      </c>
      <c r="AH247" s="408" t="str">
        <f t="shared" si="119"/>
        <v/>
      </c>
      <c r="AI247" s="404" t="str">
        <f t="shared" si="120"/>
        <v/>
      </c>
      <c r="AJ247" s="403" t="str">
        <f t="shared" si="121"/>
        <v/>
      </c>
      <c r="AK247" s="405" t="str">
        <f t="shared" si="122"/>
        <v/>
      </c>
      <c r="AL247" s="406" t="str">
        <f t="shared" si="123"/>
        <v/>
      </c>
      <c r="AM247" s="419" t="str">
        <f t="shared" si="124"/>
        <v/>
      </c>
      <c r="AN247" s="38"/>
    </row>
    <row r="248" spans="1:40" ht="12.75" x14ac:dyDescent="0.2">
      <c r="A248" s="26"/>
      <c r="B248" s="38"/>
      <c r="C248" s="296" t="s">
        <v>637</v>
      </c>
      <c r="D248" s="296" t="str">
        <f t="shared" si="131"/>
        <v/>
      </c>
      <c r="E248" s="406" t="str">
        <f t="shared" si="130"/>
        <v/>
      </c>
      <c r="F248" s="415"/>
      <c r="G248" s="415"/>
      <c r="H248" s="415"/>
      <c r="I248" s="415"/>
      <c r="J248" s="415"/>
      <c r="K248" s="415"/>
      <c r="L248" s="415"/>
      <c r="M248" s="38"/>
      <c r="N248" s="403" t="str">
        <f t="shared" si="101"/>
        <v/>
      </c>
      <c r="O248" s="404" t="str">
        <f t="shared" si="102"/>
        <v/>
      </c>
      <c r="P248" s="403" t="str">
        <f t="shared" si="126"/>
        <v/>
      </c>
      <c r="Q248" s="405" t="str">
        <f t="shared" si="103"/>
        <v/>
      </c>
      <c r="R248" s="406" t="str">
        <f t="shared" si="127"/>
        <v/>
      </c>
      <c r="S248" s="404" t="str">
        <f t="shared" si="104"/>
        <v/>
      </c>
      <c r="T248" s="403" t="str">
        <f t="shared" ref="T248:T302" si="134">IF(H248=0,"",IF(G248=0,"",H248-G248))</f>
        <v/>
      </c>
      <c r="U248" s="407" t="str">
        <f t="shared" si="106"/>
        <v/>
      </c>
      <c r="V248" s="408" t="str">
        <f t="shared" si="107"/>
        <v/>
      </c>
      <c r="W248" s="404" t="str">
        <f t="shared" si="108"/>
        <v/>
      </c>
      <c r="X248" s="403" t="str">
        <f t="shared" ref="X248:X302" si="135">IF(I248=0,"",IF(H248=0,"",I248-H248))</f>
        <v/>
      </c>
      <c r="Y248" s="405" t="str">
        <f t="shared" si="110"/>
        <v/>
      </c>
      <c r="Z248" s="406" t="str">
        <f t="shared" si="111"/>
        <v/>
      </c>
      <c r="AA248" s="404" t="str">
        <f t="shared" si="112"/>
        <v/>
      </c>
      <c r="AB248" s="403" t="str">
        <f t="shared" ref="AB248:AB302" si="136">IF(J248=0,"",IF(I248=0,"",J248-I248))</f>
        <v/>
      </c>
      <c r="AC248" s="405" t="str">
        <f t="shared" si="114"/>
        <v/>
      </c>
      <c r="AD248" s="406" t="str">
        <f t="shared" si="115"/>
        <v/>
      </c>
      <c r="AE248" s="404" t="str">
        <f t="shared" si="116"/>
        <v/>
      </c>
      <c r="AF248" s="403" t="str">
        <f t="shared" ref="AF248:AF302" si="137">IF(K248=0,"",IF(J248=0,"",K248-J248))</f>
        <v/>
      </c>
      <c r="AG248" s="407" t="str">
        <f t="shared" si="118"/>
        <v/>
      </c>
      <c r="AH248" s="408" t="str">
        <f t="shared" si="119"/>
        <v/>
      </c>
      <c r="AI248" s="404" t="str">
        <f t="shared" si="120"/>
        <v/>
      </c>
      <c r="AJ248" s="403" t="str">
        <f t="shared" ref="AJ248:AJ302" si="138">IF(L248=0,"",IF(K248=0,"",L248-K248))</f>
        <v/>
      </c>
      <c r="AK248" s="405" t="str">
        <f t="shared" si="122"/>
        <v/>
      </c>
      <c r="AL248" s="406" t="str">
        <f t="shared" si="123"/>
        <v/>
      </c>
      <c r="AM248" s="419" t="str">
        <f t="shared" si="124"/>
        <v/>
      </c>
      <c r="AN248" s="38"/>
    </row>
    <row r="249" spans="1:40" ht="12.75" x14ac:dyDescent="0.2">
      <c r="A249" s="26"/>
      <c r="B249" s="38"/>
      <c r="C249" s="296" t="s">
        <v>637</v>
      </c>
      <c r="D249" s="296" t="str">
        <f t="shared" si="131"/>
        <v/>
      </c>
      <c r="E249" s="406" t="str">
        <f t="shared" si="130"/>
        <v/>
      </c>
      <c r="F249" s="415"/>
      <c r="G249" s="415"/>
      <c r="H249" s="415"/>
      <c r="I249" s="415"/>
      <c r="J249" s="415"/>
      <c r="K249" s="415"/>
      <c r="L249" s="415"/>
      <c r="M249" s="38"/>
      <c r="N249" s="403" t="str">
        <f t="shared" si="101"/>
        <v/>
      </c>
      <c r="O249" s="404" t="str">
        <f t="shared" si="102"/>
        <v/>
      </c>
      <c r="P249" s="403" t="str">
        <f t="shared" ref="P249:P302" si="139">IF(G249=0,"",IF(F249=0,"",G249-F249))</f>
        <v/>
      </c>
      <c r="Q249" s="405" t="str">
        <f t="shared" si="103"/>
        <v/>
      </c>
      <c r="R249" s="406" t="str">
        <f t="shared" ref="R249:R302" si="140">IF(P249="","",P249+N249)</f>
        <v/>
      </c>
      <c r="S249" s="404" t="str">
        <f t="shared" si="104"/>
        <v/>
      </c>
      <c r="T249" s="403" t="str">
        <f t="shared" si="134"/>
        <v/>
      </c>
      <c r="U249" s="407" t="str">
        <f t="shared" si="106"/>
        <v/>
      </c>
      <c r="V249" s="408" t="str">
        <f t="shared" si="107"/>
        <v/>
      </c>
      <c r="W249" s="404" t="str">
        <f t="shared" si="108"/>
        <v/>
      </c>
      <c r="X249" s="403" t="str">
        <f t="shared" si="135"/>
        <v/>
      </c>
      <c r="Y249" s="405" t="str">
        <f t="shared" si="110"/>
        <v/>
      </c>
      <c r="Z249" s="406" t="str">
        <f t="shared" si="111"/>
        <v/>
      </c>
      <c r="AA249" s="404" t="str">
        <f t="shared" si="112"/>
        <v/>
      </c>
      <c r="AB249" s="403" t="str">
        <f t="shared" si="136"/>
        <v/>
      </c>
      <c r="AC249" s="405" t="str">
        <f t="shared" si="114"/>
        <v/>
      </c>
      <c r="AD249" s="406" t="str">
        <f t="shared" si="115"/>
        <v/>
      </c>
      <c r="AE249" s="404" t="str">
        <f t="shared" si="116"/>
        <v/>
      </c>
      <c r="AF249" s="403" t="str">
        <f t="shared" si="137"/>
        <v/>
      </c>
      <c r="AG249" s="407" t="str">
        <f t="shared" si="118"/>
        <v/>
      </c>
      <c r="AH249" s="408" t="str">
        <f t="shared" si="119"/>
        <v/>
      </c>
      <c r="AI249" s="404" t="str">
        <f t="shared" si="120"/>
        <v/>
      </c>
      <c r="AJ249" s="403" t="str">
        <f t="shared" si="138"/>
        <v/>
      </c>
      <c r="AK249" s="405" t="str">
        <f t="shared" si="122"/>
        <v/>
      </c>
      <c r="AL249" s="406" t="str">
        <f t="shared" si="123"/>
        <v/>
      </c>
      <c r="AM249" s="419" t="str">
        <f t="shared" si="124"/>
        <v/>
      </c>
      <c r="AN249" s="38"/>
    </row>
    <row r="250" spans="1:40" ht="12.75" x14ac:dyDescent="0.2">
      <c r="A250" s="26"/>
      <c r="B250" s="38"/>
      <c r="C250" s="296" t="s">
        <v>637</v>
      </c>
      <c r="D250" s="296" t="str">
        <f t="shared" si="131"/>
        <v/>
      </c>
      <c r="E250" s="406" t="str">
        <f t="shared" si="130"/>
        <v/>
      </c>
      <c r="F250" s="415"/>
      <c r="G250" s="415"/>
      <c r="H250" s="415"/>
      <c r="I250" s="415"/>
      <c r="J250" s="415"/>
      <c r="K250" s="415"/>
      <c r="L250" s="415"/>
      <c r="M250" s="38"/>
      <c r="N250" s="403" t="str">
        <f t="shared" si="101"/>
        <v/>
      </c>
      <c r="O250" s="404" t="str">
        <f t="shared" si="102"/>
        <v/>
      </c>
      <c r="P250" s="403" t="str">
        <f t="shared" si="139"/>
        <v/>
      </c>
      <c r="Q250" s="405" t="str">
        <f t="shared" si="103"/>
        <v/>
      </c>
      <c r="R250" s="406" t="str">
        <f t="shared" si="140"/>
        <v/>
      </c>
      <c r="S250" s="404" t="str">
        <f t="shared" si="104"/>
        <v/>
      </c>
      <c r="T250" s="403" t="str">
        <f t="shared" si="134"/>
        <v/>
      </c>
      <c r="U250" s="407" t="str">
        <f t="shared" si="106"/>
        <v/>
      </c>
      <c r="V250" s="408" t="str">
        <f t="shared" si="107"/>
        <v/>
      </c>
      <c r="W250" s="404" t="str">
        <f t="shared" si="108"/>
        <v/>
      </c>
      <c r="X250" s="403" t="str">
        <f t="shared" si="135"/>
        <v/>
      </c>
      <c r="Y250" s="405" t="str">
        <f t="shared" si="110"/>
        <v/>
      </c>
      <c r="Z250" s="406" t="str">
        <f t="shared" si="111"/>
        <v/>
      </c>
      <c r="AA250" s="404" t="str">
        <f t="shared" si="112"/>
        <v/>
      </c>
      <c r="AB250" s="403" t="str">
        <f t="shared" si="136"/>
        <v/>
      </c>
      <c r="AC250" s="405" t="str">
        <f t="shared" si="114"/>
        <v/>
      </c>
      <c r="AD250" s="406" t="str">
        <f t="shared" si="115"/>
        <v/>
      </c>
      <c r="AE250" s="404" t="str">
        <f t="shared" si="116"/>
        <v/>
      </c>
      <c r="AF250" s="403" t="str">
        <f t="shared" si="137"/>
        <v/>
      </c>
      <c r="AG250" s="407" t="str">
        <f t="shared" si="118"/>
        <v/>
      </c>
      <c r="AH250" s="408" t="str">
        <f t="shared" si="119"/>
        <v/>
      </c>
      <c r="AI250" s="404" t="str">
        <f t="shared" si="120"/>
        <v/>
      </c>
      <c r="AJ250" s="403" t="str">
        <f t="shared" si="138"/>
        <v/>
      </c>
      <c r="AK250" s="405" t="str">
        <f t="shared" si="122"/>
        <v/>
      </c>
      <c r="AL250" s="406" t="str">
        <f t="shared" si="123"/>
        <v/>
      </c>
      <c r="AM250" s="419" t="str">
        <f t="shared" si="124"/>
        <v/>
      </c>
      <c r="AN250" s="38"/>
    </row>
    <row r="251" spans="1:40" ht="12.75" x14ac:dyDescent="0.2">
      <c r="A251" s="26"/>
      <c r="B251" s="38"/>
      <c r="C251" s="296" t="s">
        <v>637</v>
      </c>
      <c r="D251" s="296" t="str">
        <f t="shared" si="131"/>
        <v/>
      </c>
      <c r="E251" s="406" t="str">
        <f t="shared" si="130"/>
        <v/>
      </c>
      <c r="F251" s="415"/>
      <c r="G251" s="415"/>
      <c r="H251" s="415"/>
      <c r="I251" s="415"/>
      <c r="J251" s="415"/>
      <c r="K251" s="415"/>
      <c r="L251" s="415"/>
      <c r="M251" s="38"/>
      <c r="N251" s="403" t="str">
        <f t="shared" si="101"/>
        <v/>
      </c>
      <c r="O251" s="404" t="str">
        <f t="shared" si="102"/>
        <v/>
      </c>
      <c r="P251" s="403" t="str">
        <f t="shared" si="139"/>
        <v/>
      </c>
      <c r="Q251" s="405" t="str">
        <f t="shared" si="103"/>
        <v/>
      </c>
      <c r="R251" s="406" t="str">
        <f t="shared" si="140"/>
        <v/>
      </c>
      <c r="S251" s="404" t="str">
        <f t="shared" si="104"/>
        <v/>
      </c>
      <c r="T251" s="403" t="str">
        <f t="shared" si="134"/>
        <v/>
      </c>
      <c r="U251" s="407" t="str">
        <f t="shared" si="106"/>
        <v/>
      </c>
      <c r="V251" s="408" t="str">
        <f t="shared" si="107"/>
        <v/>
      </c>
      <c r="W251" s="404" t="str">
        <f t="shared" si="108"/>
        <v/>
      </c>
      <c r="X251" s="403" t="str">
        <f t="shared" si="135"/>
        <v/>
      </c>
      <c r="Y251" s="405" t="str">
        <f t="shared" si="110"/>
        <v/>
      </c>
      <c r="Z251" s="406" t="str">
        <f t="shared" si="111"/>
        <v/>
      </c>
      <c r="AA251" s="404" t="str">
        <f t="shared" si="112"/>
        <v/>
      </c>
      <c r="AB251" s="403" t="str">
        <f t="shared" si="136"/>
        <v/>
      </c>
      <c r="AC251" s="405" t="str">
        <f t="shared" si="114"/>
        <v/>
      </c>
      <c r="AD251" s="406" t="str">
        <f t="shared" si="115"/>
        <v/>
      </c>
      <c r="AE251" s="404" t="str">
        <f t="shared" si="116"/>
        <v/>
      </c>
      <c r="AF251" s="403" t="str">
        <f t="shared" si="137"/>
        <v/>
      </c>
      <c r="AG251" s="407" t="str">
        <f t="shared" si="118"/>
        <v/>
      </c>
      <c r="AH251" s="408" t="str">
        <f t="shared" si="119"/>
        <v/>
      </c>
      <c r="AI251" s="404" t="str">
        <f t="shared" si="120"/>
        <v/>
      </c>
      <c r="AJ251" s="403" t="str">
        <f t="shared" si="138"/>
        <v/>
      </c>
      <c r="AK251" s="405" t="str">
        <f t="shared" si="122"/>
        <v/>
      </c>
      <c r="AL251" s="406" t="str">
        <f t="shared" si="123"/>
        <v/>
      </c>
      <c r="AM251" s="419" t="str">
        <f t="shared" si="124"/>
        <v/>
      </c>
      <c r="AN251" s="38"/>
    </row>
    <row r="252" spans="1:40" ht="12.75" x14ac:dyDescent="0.2">
      <c r="A252" s="26"/>
      <c r="B252" s="38"/>
      <c r="C252" s="296" t="s">
        <v>637</v>
      </c>
      <c r="D252" s="296" t="str">
        <f t="shared" si="131"/>
        <v/>
      </c>
      <c r="E252" s="406" t="str">
        <f t="shared" si="130"/>
        <v/>
      </c>
      <c r="F252" s="415"/>
      <c r="G252" s="415"/>
      <c r="H252" s="415"/>
      <c r="I252" s="415"/>
      <c r="J252" s="415"/>
      <c r="K252" s="415"/>
      <c r="L252" s="415"/>
      <c r="M252" s="38"/>
      <c r="N252" s="403" t="str">
        <f t="shared" si="101"/>
        <v/>
      </c>
      <c r="O252" s="404" t="str">
        <f t="shared" si="102"/>
        <v/>
      </c>
      <c r="P252" s="403" t="str">
        <f t="shared" si="139"/>
        <v/>
      </c>
      <c r="Q252" s="405" t="str">
        <f t="shared" si="103"/>
        <v/>
      </c>
      <c r="R252" s="406" t="str">
        <f t="shared" si="140"/>
        <v/>
      </c>
      <c r="S252" s="404" t="str">
        <f t="shared" si="104"/>
        <v/>
      </c>
      <c r="T252" s="403" t="str">
        <f t="shared" si="134"/>
        <v/>
      </c>
      <c r="U252" s="407" t="str">
        <f t="shared" si="106"/>
        <v/>
      </c>
      <c r="V252" s="408" t="str">
        <f t="shared" si="107"/>
        <v/>
      </c>
      <c r="W252" s="404" t="str">
        <f t="shared" si="108"/>
        <v/>
      </c>
      <c r="X252" s="403" t="str">
        <f t="shared" si="135"/>
        <v/>
      </c>
      <c r="Y252" s="405" t="str">
        <f t="shared" si="110"/>
        <v/>
      </c>
      <c r="Z252" s="406" t="str">
        <f t="shared" si="111"/>
        <v/>
      </c>
      <c r="AA252" s="404" t="str">
        <f t="shared" si="112"/>
        <v/>
      </c>
      <c r="AB252" s="403" t="str">
        <f t="shared" si="136"/>
        <v/>
      </c>
      <c r="AC252" s="405" t="str">
        <f t="shared" si="114"/>
        <v/>
      </c>
      <c r="AD252" s="406" t="str">
        <f t="shared" si="115"/>
        <v/>
      </c>
      <c r="AE252" s="404" t="str">
        <f t="shared" si="116"/>
        <v/>
      </c>
      <c r="AF252" s="403" t="str">
        <f t="shared" si="137"/>
        <v/>
      </c>
      <c r="AG252" s="407" t="str">
        <f t="shared" si="118"/>
        <v/>
      </c>
      <c r="AH252" s="408" t="str">
        <f t="shared" si="119"/>
        <v/>
      </c>
      <c r="AI252" s="404" t="str">
        <f t="shared" si="120"/>
        <v/>
      </c>
      <c r="AJ252" s="403" t="str">
        <f t="shared" si="138"/>
        <v/>
      </c>
      <c r="AK252" s="405" t="str">
        <f t="shared" si="122"/>
        <v/>
      </c>
      <c r="AL252" s="406" t="str">
        <f t="shared" si="123"/>
        <v/>
      </c>
      <c r="AM252" s="419" t="str">
        <f t="shared" si="124"/>
        <v/>
      </c>
      <c r="AN252" s="38"/>
    </row>
    <row r="253" spans="1:40" ht="12.75" x14ac:dyDescent="0.2">
      <c r="A253" s="26"/>
      <c r="B253" s="38"/>
      <c r="C253" s="296" t="s">
        <v>637</v>
      </c>
      <c r="D253" s="296" t="str">
        <f t="shared" si="131"/>
        <v/>
      </c>
      <c r="E253" s="406" t="str">
        <f t="shared" si="130"/>
        <v/>
      </c>
      <c r="F253" s="415"/>
      <c r="G253" s="415"/>
      <c r="H253" s="415"/>
      <c r="I253" s="415"/>
      <c r="J253" s="415"/>
      <c r="K253" s="415"/>
      <c r="L253" s="415"/>
      <c r="M253" s="38"/>
      <c r="N253" s="403" t="str">
        <f t="shared" si="101"/>
        <v/>
      </c>
      <c r="O253" s="404" t="str">
        <f t="shared" si="102"/>
        <v/>
      </c>
      <c r="P253" s="403" t="str">
        <f t="shared" si="139"/>
        <v/>
      </c>
      <c r="Q253" s="405" t="str">
        <f t="shared" si="103"/>
        <v/>
      </c>
      <c r="R253" s="406" t="str">
        <f t="shared" si="140"/>
        <v/>
      </c>
      <c r="S253" s="404" t="str">
        <f t="shared" si="104"/>
        <v/>
      </c>
      <c r="T253" s="403" t="str">
        <f t="shared" si="134"/>
        <v/>
      </c>
      <c r="U253" s="407" t="str">
        <f t="shared" si="106"/>
        <v/>
      </c>
      <c r="V253" s="408" t="str">
        <f t="shared" si="107"/>
        <v/>
      </c>
      <c r="W253" s="404" t="str">
        <f t="shared" si="108"/>
        <v/>
      </c>
      <c r="X253" s="403" t="str">
        <f t="shared" si="135"/>
        <v/>
      </c>
      <c r="Y253" s="405" t="str">
        <f t="shared" si="110"/>
        <v/>
      </c>
      <c r="Z253" s="406" t="str">
        <f t="shared" si="111"/>
        <v/>
      </c>
      <c r="AA253" s="404" t="str">
        <f t="shared" si="112"/>
        <v/>
      </c>
      <c r="AB253" s="403" t="str">
        <f t="shared" si="136"/>
        <v/>
      </c>
      <c r="AC253" s="405" t="str">
        <f t="shared" si="114"/>
        <v/>
      </c>
      <c r="AD253" s="406" t="str">
        <f t="shared" si="115"/>
        <v/>
      </c>
      <c r="AE253" s="404" t="str">
        <f t="shared" si="116"/>
        <v/>
      </c>
      <c r="AF253" s="403" t="str">
        <f t="shared" si="137"/>
        <v/>
      </c>
      <c r="AG253" s="407" t="str">
        <f t="shared" si="118"/>
        <v/>
      </c>
      <c r="AH253" s="408" t="str">
        <f t="shared" si="119"/>
        <v/>
      </c>
      <c r="AI253" s="404" t="str">
        <f t="shared" si="120"/>
        <v/>
      </c>
      <c r="AJ253" s="403" t="str">
        <f t="shared" si="138"/>
        <v/>
      </c>
      <c r="AK253" s="405" t="str">
        <f t="shared" si="122"/>
        <v/>
      </c>
      <c r="AL253" s="406" t="str">
        <f t="shared" si="123"/>
        <v/>
      </c>
      <c r="AM253" s="419" t="str">
        <f t="shared" si="124"/>
        <v/>
      </c>
      <c r="AN253" s="38"/>
    </row>
    <row r="254" spans="1:40" ht="12.75" x14ac:dyDescent="0.2">
      <c r="A254" s="26"/>
      <c r="B254" s="38"/>
      <c r="C254" s="296" t="s">
        <v>637</v>
      </c>
      <c r="D254" s="296" t="str">
        <f t="shared" si="131"/>
        <v/>
      </c>
      <c r="E254" s="406" t="str">
        <f t="shared" si="130"/>
        <v/>
      </c>
      <c r="F254" s="415"/>
      <c r="G254" s="415"/>
      <c r="H254" s="415"/>
      <c r="I254" s="415"/>
      <c r="J254" s="415"/>
      <c r="K254" s="415"/>
      <c r="L254" s="415"/>
      <c r="M254" s="38"/>
      <c r="N254" s="403" t="str">
        <f t="shared" si="101"/>
        <v/>
      </c>
      <c r="O254" s="404" t="str">
        <f t="shared" si="102"/>
        <v/>
      </c>
      <c r="P254" s="403" t="str">
        <f t="shared" si="139"/>
        <v/>
      </c>
      <c r="Q254" s="405" t="str">
        <f t="shared" si="103"/>
        <v/>
      </c>
      <c r="R254" s="406" t="str">
        <f t="shared" si="140"/>
        <v/>
      </c>
      <c r="S254" s="404" t="str">
        <f t="shared" si="104"/>
        <v/>
      </c>
      <c r="T254" s="403" t="str">
        <f t="shared" si="134"/>
        <v/>
      </c>
      <c r="U254" s="407" t="str">
        <f t="shared" si="106"/>
        <v/>
      </c>
      <c r="V254" s="408" t="str">
        <f t="shared" si="107"/>
        <v/>
      </c>
      <c r="W254" s="404" t="str">
        <f t="shared" si="108"/>
        <v/>
      </c>
      <c r="X254" s="403" t="str">
        <f t="shared" si="135"/>
        <v/>
      </c>
      <c r="Y254" s="405" t="str">
        <f t="shared" si="110"/>
        <v/>
      </c>
      <c r="Z254" s="406" t="str">
        <f t="shared" si="111"/>
        <v/>
      </c>
      <c r="AA254" s="404" t="str">
        <f t="shared" si="112"/>
        <v/>
      </c>
      <c r="AB254" s="403" t="str">
        <f t="shared" si="136"/>
        <v/>
      </c>
      <c r="AC254" s="405" t="str">
        <f t="shared" si="114"/>
        <v/>
      </c>
      <c r="AD254" s="406" t="str">
        <f t="shared" si="115"/>
        <v/>
      </c>
      <c r="AE254" s="404" t="str">
        <f t="shared" si="116"/>
        <v/>
      </c>
      <c r="AF254" s="403" t="str">
        <f t="shared" si="137"/>
        <v/>
      </c>
      <c r="AG254" s="407" t="str">
        <f t="shared" si="118"/>
        <v/>
      </c>
      <c r="AH254" s="408" t="str">
        <f t="shared" si="119"/>
        <v/>
      </c>
      <c r="AI254" s="404" t="str">
        <f t="shared" si="120"/>
        <v/>
      </c>
      <c r="AJ254" s="403" t="str">
        <f t="shared" si="138"/>
        <v/>
      </c>
      <c r="AK254" s="405" t="str">
        <f t="shared" si="122"/>
        <v/>
      </c>
      <c r="AL254" s="406" t="str">
        <f t="shared" si="123"/>
        <v/>
      </c>
      <c r="AM254" s="419" t="str">
        <f t="shared" si="124"/>
        <v/>
      </c>
      <c r="AN254" s="38"/>
    </row>
    <row r="255" spans="1:40" ht="12.75" x14ac:dyDescent="0.2">
      <c r="A255" s="26"/>
      <c r="B255" s="38"/>
      <c r="C255" s="296" t="s">
        <v>637</v>
      </c>
      <c r="D255" s="296" t="str">
        <f t="shared" si="131"/>
        <v/>
      </c>
      <c r="E255" s="406" t="str">
        <f t="shared" si="130"/>
        <v/>
      </c>
      <c r="F255" s="415"/>
      <c r="G255" s="415"/>
      <c r="H255" s="415"/>
      <c r="I255" s="415"/>
      <c r="J255" s="415"/>
      <c r="K255" s="415"/>
      <c r="L255" s="415"/>
      <c r="M255" s="38"/>
      <c r="N255" s="403" t="str">
        <f t="shared" si="101"/>
        <v/>
      </c>
      <c r="O255" s="404" t="str">
        <f t="shared" si="102"/>
        <v/>
      </c>
      <c r="P255" s="403" t="str">
        <f t="shared" si="139"/>
        <v/>
      </c>
      <c r="Q255" s="405" t="str">
        <f t="shared" si="103"/>
        <v/>
      </c>
      <c r="R255" s="406" t="str">
        <f t="shared" si="140"/>
        <v/>
      </c>
      <c r="S255" s="404" t="str">
        <f t="shared" si="104"/>
        <v/>
      </c>
      <c r="T255" s="403" t="str">
        <f t="shared" si="134"/>
        <v/>
      </c>
      <c r="U255" s="407" t="str">
        <f t="shared" si="106"/>
        <v/>
      </c>
      <c r="V255" s="408" t="str">
        <f t="shared" si="107"/>
        <v/>
      </c>
      <c r="W255" s="404" t="str">
        <f t="shared" si="108"/>
        <v/>
      </c>
      <c r="X255" s="403" t="str">
        <f t="shared" si="135"/>
        <v/>
      </c>
      <c r="Y255" s="405" t="str">
        <f t="shared" si="110"/>
        <v/>
      </c>
      <c r="Z255" s="406" t="str">
        <f t="shared" si="111"/>
        <v/>
      </c>
      <c r="AA255" s="404" t="str">
        <f t="shared" si="112"/>
        <v/>
      </c>
      <c r="AB255" s="403" t="str">
        <f t="shared" si="136"/>
        <v/>
      </c>
      <c r="AC255" s="405" t="str">
        <f t="shared" si="114"/>
        <v/>
      </c>
      <c r="AD255" s="406" t="str">
        <f t="shared" si="115"/>
        <v/>
      </c>
      <c r="AE255" s="404" t="str">
        <f t="shared" si="116"/>
        <v/>
      </c>
      <c r="AF255" s="403" t="str">
        <f t="shared" si="137"/>
        <v/>
      </c>
      <c r="AG255" s="407" t="str">
        <f t="shared" si="118"/>
        <v/>
      </c>
      <c r="AH255" s="408" t="str">
        <f t="shared" si="119"/>
        <v/>
      </c>
      <c r="AI255" s="404" t="str">
        <f t="shared" si="120"/>
        <v/>
      </c>
      <c r="AJ255" s="403" t="str">
        <f t="shared" si="138"/>
        <v/>
      </c>
      <c r="AK255" s="405" t="str">
        <f t="shared" si="122"/>
        <v/>
      </c>
      <c r="AL255" s="406" t="str">
        <f t="shared" si="123"/>
        <v/>
      </c>
      <c r="AM255" s="419" t="str">
        <f t="shared" si="124"/>
        <v/>
      </c>
      <c r="AN255" s="38"/>
    </row>
    <row r="256" spans="1:40" ht="12.75" x14ac:dyDescent="0.2">
      <c r="A256" s="26"/>
      <c r="B256" s="38"/>
      <c r="C256" s="296" t="s">
        <v>637</v>
      </c>
      <c r="D256" s="296" t="str">
        <f t="shared" si="131"/>
        <v/>
      </c>
      <c r="E256" s="406" t="str">
        <f t="shared" si="130"/>
        <v/>
      </c>
      <c r="F256" s="415"/>
      <c r="G256" s="415"/>
      <c r="H256" s="415"/>
      <c r="I256" s="415"/>
      <c r="J256" s="415"/>
      <c r="K256" s="415"/>
      <c r="L256" s="415"/>
      <c r="M256" s="38"/>
      <c r="N256" s="403" t="str">
        <f t="shared" si="101"/>
        <v/>
      </c>
      <c r="O256" s="404" t="str">
        <f t="shared" si="102"/>
        <v/>
      </c>
      <c r="P256" s="403" t="str">
        <f t="shared" si="139"/>
        <v/>
      </c>
      <c r="Q256" s="405" t="str">
        <f t="shared" si="103"/>
        <v/>
      </c>
      <c r="R256" s="406" t="str">
        <f t="shared" si="140"/>
        <v/>
      </c>
      <c r="S256" s="404" t="str">
        <f t="shared" si="104"/>
        <v/>
      </c>
      <c r="T256" s="403" t="str">
        <f t="shared" si="134"/>
        <v/>
      </c>
      <c r="U256" s="407" t="str">
        <f t="shared" si="106"/>
        <v/>
      </c>
      <c r="V256" s="408" t="str">
        <f t="shared" si="107"/>
        <v/>
      </c>
      <c r="W256" s="404" t="str">
        <f t="shared" si="108"/>
        <v/>
      </c>
      <c r="X256" s="403" t="str">
        <f t="shared" si="135"/>
        <v/>
      </c>
      <c r="Y256" s="405" t="str">
        <f t="shared" si="110"/>
        <v/>
      </c>
      <c r="Z256" s="406" t="str">
        <f t="shared" si="111"/>
        <v/>
      </c>
      <c r="AA256" s="404" t="str">
        <f t="shared" si="112"/>
        <v/>
      </c>
      <c r="AB256" s="403" t="str">
        <f t="shared" si="136"/>
        <v/>
      </c>
      <c r="AC256" s="405" t="str">
        <f t="shared" si="114"/>
        <v/>
      </c>
      <c r="AD256" s="406" t="str">
        <f t="shared" si="115"/>
        <v/>
      </c>
      <c r="AE256" s="404" t="str">
        <f t="shared" si="116"/>
        <v/>
      </c>
      <c r="AF256" s="403" t="str">
        <f t="shared" si="137"/>
        <v/>
      </c>
      <c r="AG256" s="407" t="str">
        <f t="shared" si="118"/>
        <v/>
      </c>
      <c r="AH256" s="408" t="str">
        <f t="shared" si="119"/>
        <v/>
      </c>
      <c r="AI256" s="404" t="str">
        <f t="shared" si="120"/>
        <v/>
      </c>
      <c r="AJ256" s="403" t="str">
        <f t="shared" si="138"/>
        <v/>
      </c>
      <c r="AK256" s="405" t="str">
        <f t="shared" si="122"/>
        <v/>
      </c>
      <c r="AL256" s="406" t="str">
        <f t="shared" si="123"/>
        <v/>
      </c>
      <c r="AM256" s="419" t="str">
        <f t="shared" si="124"/>
        <v/>
      </c>
      <c r="AN256" s="38"/>
    </row>
    <row r="257" spans="1:40" ht="12.75" x14ac:dyDescent="0.2">
      <c r="A257" s="26"/>
      <c r="B257" s="38"/>
      <c r="C257" s="296" t="s">
        <v>637</v>
      </c>
      <c r="D257" s="296" t="str">
        <f t="shared" si="131"/>
        <v/>
      </c>
      <c r="E257" s="406" t="str">
        <f t="shared" si="130"/>
        <v/>
      </c>
      <c r="F257" s="415"/>
      <c r="G257" s="415"/>
      <c r="H257" s="415"/>
      <c r="I257" s="415"/>
      <c r="J257" s="415"/>
      <c r="K257" s="415"/>
      <c r="L257" s="415"/>
      <c r="M257" s="38"/>
      <c r="N257" s="403" t="str">
        <f t="shared" si="101"/>
        <v/>
      </c>
      <c r="O257" s="404" t="str">
        <f t="shared" si="102"/>
        <v/>
      </c>
      <c r="P257" s="403" t="str">
        <f t="shared" si="139"/>
        <v/>
      </c>
      <c r="Q257" s="405" t="str">
        <f t="shared" si="103"/>
        <v/>
      </c>
      <c r="R257" s="406" t="str">
        <f t="shared" si="140"/>
        <v/>
      </c>
      <c r="S257" s="404" t="str">
        <f t="shared" si="104"/>
        <v/>
      </c>
      <c r="T257" s="403" t="str">
        <f t="shared" si="134"/>
        <v/>
      </c>
      <c r="U257" s="407" t="str">
        <f t="shared" si="106"/>
        <v/>
      </c>
      <c r="V257" s="408" t="str">
        <f t="shared" si="107"/>
        <v/>
      </c>
      <c r="W257" s="404" t="str">
        <f t="shared" si="108"/>
        <v/>
      </c>
      <c r="X257" s="403" t="str">
        <f t="shared" si="135"/>
        <v/>
      </c>
      <c r="Y257" s="405" t="str">
        <f t="shared" si="110"/>
        <v/>
      </c>
      <c r="Z257" s="406" t="str">
        <f t="shared" si="111"/>
        <v/>
      </c>
      <c r="AA257" s="404" t="str">
        <f t="shared" si="112"/>
        <v/>
      </c>
      <c r="AB257" s="403" t="str">
        <f t="shared" si="136"/>
        <v/>
      </c>
      <c r="AC257" s="405" t="str">
        <f t="shared" si="114"/>
        <v/>
      </c>
      <c r="AD257" s="406" t="str">
        <f t="shared" si="115"/>
        <v/>
      </c>
      <c r="AE257" s="404" t="str">
        <f t="shared" si="116"/>
        <v/>
      </c>
      <c r="AF257" s="403" t="str">
        <f t="shared" si="137"/>
        <v/>
      </c>
      <c r="AG257" s="407" t="str">
        <f t="shared" si="118"/>
        <v/>
      </c>
      <c r="AH257" s="408" t="str">
        <f t="shared" si="119"/>
        <v/>
      </c>
      <c r="AI257" s="404" t="str">
        <f t="shared" si="120"/>
        <v/>
      </c>
      <c r="AJ257" s="403" t="str">
        <f t="shared" si="138"/>
        <v/>
      </c>
      <c r="AK257" s="405" t="str">
        <f t="shared" si="122"/>
        <v/>
      </c>
      <c r="AL257" s="406" t="str">
        <f t="shared" si="123"/>
        <v/>
      </c>
      <c r="AM257" s="419" t="str">
        <f t="shared" si="124"/>
        <v/>
      </c>
      <c r="AN257" s="38"/>
    </row>
    <row r="258" spans="1:40" ht="12.75" x14ac:dyDescent="0.2">
      <c r="A258" s="26"/>
      <c r="B258" s="38"/>
      <c r="C258" s="296" t="s">
        <v>637</v>
      </c>
      <c r="D258" s="296" t="str">
        <f t="shared" si="131"/>
        <v/>
      </c>
      <c r="E258" s="406" t="str">
        <f t="shared" si="130"/>
        <v/>
      </c>
      <c r="F258" s="415"/>
      <c r="G258" s="415"/>
      <c r="H258" s="415"/>
      <c r="I258" s="415"/>
      <c r="J258" s="415"/>
      <c r="K258" s="415"/>
      <c r="L258" s="415"/>
      <c r="M258" s="38"/>
      <c r="N258" s="403" t="str">
        <f t="shared" si="101"/>
        <v/>
      </c>
      <c r="O258" s="404" t="str">
        <f t="shared" si="102"/>
        <v/>
      </c>
      <c r="P258" s="403" t="str">
        <f t="shared" si="139"/>
        <v/>
      </c>
      <c r="Q258" s="405" t="str">
        <f t="shared" si="103"/>
        <v/>
      </c>
      <c r="R258" s="406" t="str">
        <f t="shared" si="140"/>
        <v/>
      </c>
      <c r="S258" s="404" t="str">
        <f t="shared" si="104"/>
        <v/>
      </c>
      <c r="T258" s="403" t="str">
        <f t="shared" si="134"/>
        <v/>
      </c>
      <c r="U258" s="407" t="str">
        <f t="shared" si="106"/>
        <v/>
      </c>
      <c r="V258" s="408" t="str">
        <f t="shared" si="107"/>
        <v/>
      </c>
      <c r="W258" s="404" t="str">
        <f t="shared" si="108"/>
        <v/>
      </c>
      <c r="X258" s="403" t="str">
        <f t="shared" si="135"/>
        <v/>
      </c>
      <c r="Y258" s="405" t="str">
        <f t="shared" si="110"/>
        <v/>
      </c>
      <c r="Z258" s="406" t="str">
        <f t="shared" si="111"/>
        <v/>
      </c>
      <c r="AA258" s="404" t="str">
        <f t="shared" si="112"/>
        <v/>
      </c>
      <c r="AB258" s="403" t="str">
        <f t="shared" si="136"/>
        <v/>
      </c>
      <c r="AC258" s="405" t="str">
        <f t="shared" si="114"/>
        <v/>
      </c>
      <c r="AD258" s="406" t="str">
        <f t="shared" si="115"/>
        <v/>
      </c>
      <c r="AE258" s="404" t="str">
        <f t="shared" si="116"/>
        <v/>
      </c>
      <c r="AF258" s="403" t="str">
        <f t="shared" si="137"/>
        <v/>
      </c>
      <c r="AG258" s="407" t="str">
        <f t="shared" si="118"/>
        <v/>
      </c>
      <c r="AH258" s="408" t="str">
        <f t="shared" si="119"/>
        <v/>
      </c>
      <c r="AI258" s="404" t="str">
        <f t="shared" si="120"/>
        <v/>
      </c>
      <c r="AJ258" s="403" t="str">
        <f t="shared" si="138"/>
        <v/>
      </c>
      <c r="AK258" s="405" t="str">
        <f t="shared" si="122"/>
        <v/>
      </c>
      <c r="AL258" s="406" t="str">
        <f t="shared" si="123"/>
        <v/>
      </c>
      <c r="AM258" s="419" t="str">
        <f t="shared" si="124"/>
        <v/>
      </c>
      <c r="AN258" s="38"/>
    </row>
    <row r="259" spans="1:40" ht="12.75" x14ac:dyDescent="0.2">
      <c r="A259" s="26"/>
      <c r="B259" s="38"/>
      <c r="C259" s="296" t="s">
        <v>637</v>
      </c>
      <c r="D259" s="296" t="str">
        <f t="shared" si="131"/>
        <v/>
      </c>
      <c r="E259" s="406" t="str">
        <f t="shared" si="130"/>
        <v/>
      </c>
      <c r="F259" s="415"/>
      <c r="G259" s="415"/>
      <c r="H259" s="415"/>
      <c r="I259" s="415"/>
      <c r="J259" s="415"/>
      <c r="K259" s="415"/>
      <c r="L259" s="415"/>
      <c r="M259" s="38"/>
      <c r="N259" s="403" t="str">
        <f t="shared" si="101"/>
        <v/>
      </c>
      <c r="O259" s="404" t="str">
        <f t="shared" si="102"/>
        <v/>
      </c>
      <c r="P259" s="403" t="str">
        <f t="shared" si="139"/>
        <v/>
      </c>
      <c r="Q259" s="405" t="str">
        <f t="shared" si="103"/>
        <v/>
      </c>
      <c r="R259" s="406" t="str">
        <f t="shared" si="140"/>
        <v/>
      </c>
      <c r="S259" s="404" t="str">
        <f t="shared" si="104"/>
        <v/>
      </c>
      <c r="T259" s="403" t="str">
        <f t="shared" si="134"/>
        <v/>
      </c>
      <c r="U259" s="407" t="str">
        <f t="shared" si="106"/>
        <v/>
      </c>
      <c r="V259" s="408" t="str">
        <f t="shared" si="107"/>
        <v/>
      </c>
      <c r="W259" s="404" t="str">
        <f t="shared" si="108"/>
        <v/>
      </c>
      <c r="X259" s="403" t="str">
        <f t="shared" si="135"/>
        <v/>
      </c>
      <c r="Y259" s="405" t="str">
        <f t="shared" si="110"/>
        <v/>
      </c>
      <c r="Z259" s="406" t="str">
        <f t="shared" si="111"/>
        <v/>
      </c>
      <c r="AA259" s="404" t="str">
        <f t="shared" si="112"/>
        <v/>
      </c>
      <c r="AB259" s="403" t="str">
        <f t="shared" si="136"/>
        <v/>
      </c>
      <c r="AC259" s="405" t="str">
        <f t="shared" si="114"/>
        <v/>
      </c>
      <c r="AD259" s="406" t="str">
        <f t="shared" si="115"/>
        <v/>
      </c>
      <c r="AE259" s="404" t="str">
        <f t="shared" si="116"/>
        <v/>
      </c>
      <c r="AF259" s="403" t="str">
        <f t="shared" si="137"/>
        <v/>
      </c>
      <c r="AG259" s="407" t="str">
        <f t="shared" si="118"/>
        <v/>
      </c>
      <c r="AH259" s="408" t="str">
        <f t="shared" si="119"/>
        <v/>
      </c>
      <c r="AI259" s="404" t="str">
        <f t="shared" si="120"/>
        <v/>
      </c>
      <c r="AJ259" s="403" t="str">
        <f t="shared" si="138"/>
        <v/>
      </c>
      <c r="AK259" s="405" t="str">
        <f t="shared" si="122"/>
        <v/>
      </c>
      <c r="AL259" s="406" t="str">
        <f t="shared" si="123"/>
        <v/>
      </c>
      <c r="AM259" s="419" t="str">
        <f t="shared" si="124"/>
        <v/>
      </c>
      <c r="AN259" s="38"/>
    </row>
    <row r="260" spans="1:40" s="165" customFormat="1" ht="12.75" x14ac:dyDescent="0.2">
      <c r="A260" s="539"/>
      <c r="B260" s="540"/>
      <c r="C260" s="579"/>
      <c r="D260" s="579" t="s">
        <v>613</v>
      </c>
      <c r="E260" s="406">
        <f t="shared" si="130"/>
        <v>2062.880478523276</v>
      </c>
      <c r="F260" s="406">
        <f>F617/'WK3 - Notional GI 15-16 YIELD'!$D$59</f>
        <v>2106.0514219581</v>
      </c>
      <c r="G260" s="406">
        <f>G617/'WK3 - Notional GI 15-16 YIELD'!$D$59</f>
        <v>2169.2329646168432</v>
      </c>
      <c r="H260" s="406">
        <f>H617/'WK3 - Notional GI 15-16 YIELD'!$D$59</f>
        <v>2234.3099535553488</v>
      </c>
      <c r="I260" s="406">
        <f>I617/'WK3 - Notional GI 15-16 YIELD'!$D$59</f>
        <v>2301.3392521620085</v>
      </c>
      <c r="J260" s="406">
        <f>J617/'WK3 - Notional GI 15-16 YIELD'!$D$59</f>
        <v>2370.3794297268696</v>
      </c>
      <c r="K260" s="406">
        <f>K617/'WK3 - Notional GI 15-16 YIELD'!$D$59</f>
        <v>2441.490812618676</v>
      </c>
      <c r="L260" s="406">
        <f>L617/'WK3 - Notional GI 15-16 YIELD'!$D$59</f>
        <v>2514.7355369972356</v>
      </c>
      <c r="M260" s="540"/>
      <c r="N260" s="403">
        <f t="shared" si="101"/>
        <v>43.170943434824039</v>
      </c>
      <c r="O260" s="404">
        <f t="shared" si="102"/>
        <v>2.0927505924011745E-2</v>
      </c>
      <c r="P260" s="403">
        <f t="shared" si="139"/>
        <v>63.181542658743183</v>
      </c>
      <c r="Q260" s="405">
        <f t="shared" si="103"/>
        <v>3.0000000000000086E-2</v>
      </c>
      <c r="R260" s="406">
        <f t="shared" si="140"/>
        <v>106.35248609356722</v>
      </c>
      <c r="S260" s="404">
        <f t="shared" si="104"/>
        <v>5.1555331101732181E-2</v>
      </c>
      <c r="T260" s="403">
        <f t="shared" si="134"/>
        <v>65.076988938505565</v>
      </c>
      <c r="U260" s="407">
        <f t="shared" si="106"/>
        <v>3.0000000000000124E-2</v>
      </c>
      <c r="V260" s="408">
        <f t="shared" si="107"/>
        <v>171.42947503207279</v>
      </c>
      <c r="W260" s="404">
        <f t="shared" si="108"/>
        <v>8.3101991034784287E-2</v>
      </c>
      <c r="X260" s="403">
        <f t="shared" si="135"/>
        <v>67.029298606659722</v>
      </c>
      <c r="Y260" s="405">
        <f t="shared" si="110"/>
        <v>2.9999999999999669E-2</v>
      </c>
      <c r="Z260" s="406">
        <f t="shared" si="111"/>
        <v>238.45877363873251</v>
      </c>
      <c r="AA260" s="404">
        <f t="shared" si="112"/>
        <v>0.11559505076582745</v>
      </c>
      <c r="AB260" s="403">
        <f t="shared" si="136"/>
        <v>69.040177564861096</v>
      </c>
      <c r="AC260" s="405">
        <f t="shared" si="114"/>
        <v>3.0000000000000367E-2</v>
      </c>
      <c r="AD260" s="406">
        <f t="shared" si="115"/>
        <v>307.49895120359361</v>
      </c>
      <c r="AE260" s="404">
        <f t="shared" si="116"/>
        <v>0.14906290228880267</v>
      </c>
      <c r="AF260" s="403">
        <f t="shared" si="137"/>
        <v>71.111382891806443</v>
      </c>
      <c r="AG260" s="407">
        <f t="shared" si="118"/>
        <v>3.0000000000000148E-2</v>
      </c>
      <c r="AH260" s="408">
        <f t="shared" si="119"/>
        <v>378.61033409540005</v>
      </c>
      <c r="AI260" s="404">
        <f t="shared" si="120"/>
        <v>0.18353478935746692</v>
      </c>
      <c r="AJ260" s="403">
        <f t="shared" si="138"/>
        <v>73.244724378559567</v>
      </c>
      <c r="AK260" s="405">
        <f t="shared" si="122"/>
        <v>2.9999999999999707E-2</v>
      </c>
      <c r="AL260" s="406">
        <f t="shared" si="123"/>
        <v>451.85505847395962</v>
      </c>
      <c r="AM260" s="419">
        <f t="shared" si="124"/>
        <v>0.21904083303819061</v>
      </c>
      <c r="AN260" s="540"/>
    </row>
    <row r="261" spans="1:40" ht="12.75" x14ac:dyDescent="0.2">
      <c r="A261" s="26"/>
      <c r="B261" s="38"/>
      <c r="C261" s="296" t="s">
        <v>302</v>
      </c>
      <c r="D261" s="296" t="str">
        <f>D135</f>
        <v/>
      </c>
      <c r="E261" s="406">
        <f t="shared" si="130"/>
        <v>1977.1974865289255</v>
      </c>
      <c r="F261" s="415">
        <f>+F135</f>
        <v>2031.8414579976302</v>
      </c>
      <c r="G261" s="415">
        <f t="shared" ref="G261:L261" si="141">+G135</f>
        <v>2092.796701737559</v>
      </c>
      <c r="H261" s="415">
        <f t="shared" si="141"/>
        <v>2155.5806027896861</v>
      </c>
      <c r="I261" s="415">
        <f t="shared" si="141"/>
        <v>2220.2480208733768</v>
      </c>
      <c r="J261" s="415">
        <f t="shared" si="141"/>
        <v>2286.8554614995783</v>
      </c>
      <c r="K261" s="415">
        <f t="shared" si="141"/>
        <v>2355.4611253445655</v>
      </c>
      <c r="L261" s="415">
        <f t="shared" si="141"/>
        <v>2426.1249591049027</v>
      </c>
      <c r="M261" s="38"/>
      <c r="N261" s="403">
        <f t="shared" si="101"/>
        <v>54.643971468704649</v>
      </c>
      <c r="O261" s="404">
        <f t="shared" si="102"/>
        <v>2.7637083215513805E-2</v>
      </c>
      <c r="P261" s="403">
        <f t="shared" si="139"/>
        <v>60.955243739928846</v>
      </c>
      <c r="Q261" s="405">
        <f t="shared" si="103"/>
        <v>2.9999999999999971E-2</v>
      </c>
      <c r="R261" s="406">
        <f t="shared" si="140"/>
        <v>115.5992152086335</v>
      </c>
      <c r="S261" s="404">
        <f t="shared" si="104"/>
        <v>5.8466195711979189E-2</v>
      </c>
      <c r="T261" s="403">
        <f t="shared" si="134"/>
        <v>62.783901052127021</v>
      </c>
      <c r="U261" s="407">
        <f t="shared" si="106"/>
        <v>3.000000000000012E-2</v>
      </c>
      <c r="V261" s="408">
        <f t="shared" si="107"/>
        <v>178.38311626076052</v>
      </c>
      <c r="W261" s="404">
        <f t="shared" si="108"/>
        <v>9.0220181583338693E-2</v>
      </c>
      <c r="X261" s="403">
        <f t="shared" si="135"/>
        <v>64.667418083690791</v>
      </c>
      <c r="Y261" s="405">
        <f t="shared" si="110"/>
        <v>3.0000000000000096E-2</v>
      </c>
      <c r="Z261" s="406">
        <f t="shared" si="111"/>
        <v>243.05053434445131</v>
      </c>
      <c r="AA261" s="404">
        <f t="shared" si="112"/>
        <v>0.12292678703083895</v>
      </c>
      <c r="AB261" s="403">
        <f t="shared" si="136"/>
        <v>66.607440626201424</v>
      </c>
      <c r="AC261" s="405">
        <f t="shared" si="114"/>
        <v>3.0000000000000054E-2</v>
      </c>
      <c r="AD261" s="406">
        <f t="shared" si="115"/>
        <v>309.65797497065273</v>
      </c>
      <c r="AE261" s="404">
        <f t="shared" si="116"/>
        <v>0.1566145906417642</v>
      </c>
      <c r="AF261" s="403">
        <f t="shared" si="137"/>
        <v>68.605663844987248</v>
      </c>
      <c r="AG261" s="407">
        <f t="shared" si="118"/>
        <v>2.9999999999999957E-2</v>
      </c>
      <c r="AH261" s="408">
        <f t="shared" si="119"/>
        <v>378.26363881563998</v>
      </c>
      <c r="AI261" s="404">
        <f t="shared" si="120"/>
        <v>0.19131302836101707</v>
      </c>
      <c r="AJ261" s="403">
        <f t="shared" si="138"/>
        <v>70.663833760337184</v>
      </c>
      <c r="AK261" s="405">
        <f t="shared" si="122"/>
        <v>3.0000000000000093E-2</v>
      </c>
      <c r="AL261" s="406">
        <f t="shared" si="123"/>
        <v>448.92747257597716</v>
      </c>
      <c r="AM261" s="419">
        <f t="shared" si="124"/>
        <v>0.22705241921184768</v>
      </c>
      <c r="AN261" s="38"/>
    </row>
    <row r="262" spans="1:40" ht="12.75" x14ac:dyDescent="0.2">
      <c r="A262" s="26"/>
      <c r="B262" s="38"/>
      <c r="C262" s="296" t="s">
        <v>302</v>
      </c>
      <c r="D262" s="296" t="str">
        <f t="shared" ref="D262:E270" si="142">D136</f>
        <v>Dairy Farmers</v>
      </c>
      <c r="E262" s="406">
        <f t="shared" si="142"/>
        <v>1507.8996642857142</v>
      </c>
      <c r="F262" s="415">
        <f>+F136</f>
        <v>1556.4342919999999</v>
      </c>
      <c r="G262" s="415">
        <f t="shared" ref="G262:L262" si="143">+G136</f>
        <v>1603.12732076</v>
      </c>
      <c r="H262" s="415">
        <f t="shared" si="143"/>
        <v>1651.2211403828001</v>
      </c>
      <c r="I262" s="415">
        <f t="shared" si="143"/>
        <v>1700.757774594284</v>
      </c>
      <c r="J262" s="415">
        <f t="shared" si="143"/>
        <v>1751.7805078321126</v>
      </c>
      <c r="K262" s="415">
        <f t="shared" si="143"/>
        <v>1804.3339230670761</v>
      </c>
      <c r="L262" s="415">
        <f t="shared" si="143"/>
        <v>1858.4639407590885</v>
      </c>
      <c r="M262" s="38"/>
      <c r="N262" s="403">
        <f t="shared" si="101"/>
        <v>48.534627714285762</v>
      </c>
      <c r="O262" s="404">
        <f t="shared" si="102"/>
        <v>3.2186907964646586E-2</v>
      </c>
      <c r="P262" s="403">
        <f t="shared" si="139"/>
        <v>46.693028760000061</v>
      </c>
      <c r="Q262" s="405">
        <f t="shared" si="103"/>
        <v>3.0000000000000041E-2</v>
      </c>
      <c r="R262" s="406">
        <f t="shared" si="140"/>
        <v>95.227656474285823</v>
      </c>
      <c r="S262" s="404">
        <f t="shared" si="104"/>
        <v>6.3152515203586029E-2</v>
      </c>
      <c r="T262" s="403">
        <f t="shared" si="134"/>
        <v>48.093819622800083</v>
      </c>
      <c r="U262" s="407">
        <f t="shared" si="106"/>
        <v>3.0000000000000051E-2</v>
      </c>
      <c r="V262" s="408">
        <f t="shared" si="107"/>
        <v>143.32147609708591</v>
      </c>
      <c r="W262" s="404">
        <f t="shared" si="108"/>
        <v>9.5047090659693662E-2</v>
      </c>
      <c r="X262" s="403">
        <f t="shared" si="135"/>
        <v>49.536634211483943</v>
      </c>
      <c r="Y262" s="405">
        <f t="shared" si="110"/>
        <v>2.9999999999999964E-2</v>
      </c>
      <c r="Z262" s="406">
        <f t="shared" si="111"/>
        <v>192.85811030856985</v>
      </c>
      <c r="AA262" s="404">
        <f t="shared" si="112"/>
        <v>0.12789850337948444</v>
      </c>
      <c r="AB262" s="403">
        <f t="shared" si="136"/>
        <v>51.022733237828561</v>
      </c>
      <c r="AC262" s="405">
        <f t="shared" si="114"/>
        <v>3.0000000000000023E-2</v>
      </c>
      <c r="AD262" s="406">
        <f t="shared" si="115"/>
        <v>243.88084354639841</v>
      </c>
      <c r="AE262" s="404">
        <f t="shared" si="116"/>
        <v>0.16173545848086898</v>
      </c>
      <c r="AF262" s="403">
        <f t="shared" si="137"/>
        <v>52.553415234963495</v>
      </c>
      <c r="AG262" s="407">
        <f t="shared" si="118"/>
        <v>3.0000000000000068E-2</v>
      </c>
      <c r="AH262" s="408">
        <f t="shared" si="119"/>
        <v>296.4342587813619</v>
      </c>
      <c r="AI262" s="404">
        <f t="shared" si="120"/>
        <v>0.19658752223529513</v>
      </c>
      <c r="AJ262" s="403">
        <f t="shared" si="138"/>
        <v>54.130017692012416</v>
      </c>
      <c r="AK262" s="405">
        <f t="shared" si="122"/>
        <v>3.0000000000000075E-2</v>
      </c>
      <c r="AL262" s="406">
        <f t="shared" si="123"/>
        <v>350.56427647337432</v>
      </c>
      <c r="AM262" s="419">
        <f t="shared" si="124"/>
        <v>0.23248514790235408</v>
      </c>
      <c r="AN262" s="38"/>
    </row>
    <row r="263" spans="1:40" ht="12.75" x14ac:dyDescent="0.2">
      <c r="A263" s="26"/>
      <c r="B263" s="38"/>
      <c r="C263" s="296" t="s">
        <v>302</v>
      </c>
      <c r="D263" s="296" t="str">
        <f t="shared" si="142"/>
        <v/>
      </c>
      <c r="E263" s="406" t="str">
        <f t="shared" si="142"/>
        <v/>
      </c>
      <c r="F263" s="415"/>
      <c r="G263" s="415"/>
      <c r="H263" s="415"/>
      <c r="I263" s="415"/>
      <c r="J263" s="415"/>
      <c r="K263" s="415"/>
      <c r="L263" s="415"/>
      <c r="M263" s="38"/>
      <c r="N263" s="403" t="str">
        <f t="shared" si="101"/>
        <v/>
      </c>
      <c r="O263" s="404" t="str">
        <f t="shared" si="102"/>
        <v/>
      </c>
      <c r="P263" s="403" t="str">
        <f t="shared" si="139"/>
        <v/>
      </c>
      <c r="Q263" s="405" t="str">
        <f t="shared" si="103"/>
        <v/>
      </c>
      <c r="R263" s="406" t="str">
        <f t="shared" si="140"/>
        <v/>
      </c>
      <c r="S263" s="404" t="str">
        <f t="shared" si="104"/>
        <v/>
      </c>
      <c r="T263" s="403" t="str">
        <f t="shared" si="134"/>
        <v/>
      </c>
      <c r="U263" s="407" t="str">
        <f t="shared" si="106"/>
        <v/>
      </c>
      <c r="V263" s="408" t="str">
        <f t="shared" si="107"/>
        <v/>
      </c>
      <c r="W263" s="404" t="str">
        <f t="shared" si="108"/>
        <v/>
      </c>
      <c r="X263" s="403" t="str">
        <f t="shared" si="135"/>
        <v/>
      </c>
      <c r="Y263" s="405" t="str">
        <f t="shared" si="110"/>
        <v/>
      </c>
      <c r="Z263" s="406" t="str">
        <f t="shared" si="111"/>
        <v/>
      </c>
      <c r="AA263" s="404" t="str">
        <f t="shared" si="112"/>
        <v/>
      </c>
      <c r="AB263" s="403" t="str">
        <f t="shared" si="136"/>
        <v/>
      </c>
      <c r="AC263" s="405" t="str">
        <f t="shared" si="114"/>
        <v/>
      </c>
      <c r="AD263" s="406" t="str">
        <f t="shared" si="115"/>
        <v/>
      </c>
      <c r="AE263" s="404" t="str">
        <f t="shared" si="116"/>
        <v/>
      </c>
      <c r="AF263" s="403" t="str">
        <f t="shared" si="137"/>
        <v/>
      </c>
      <c r="AG263" s="407" t="str">
        <f t="shared" si="118"/>
        <v/>
      </c>
      <c r="AH263" s="408" t="str">
        <f t="shared" si="119"/>
        <v/>
      </c>
      <c r="AI263" s="404" t="str">
        <f t="shared" si="120"/>
        <v/>
      </c>
      <c r="AJ263" s="403" t="str">
        <f t="shared" si="138"/>
        <v/>
      </c>
      <c r="AK263" s="405" t="str">
        <f t="shared" si="122"/>
        <v/>
      </c>
      <c r="AL263" s="406" t="str">
        <f t="shared" si="123"/>
        <v/>
      </c>
      <c r="AM263" s="419" t="str">
        <f t="shared" si="124"/>
        <v/>
      </c>
      <c r="AN263" s="38"/>
    </row>
    <row r="264" spans="1:40" ht="12.75" x14ac:dyDescent="0.2">
      <c r="A264" s="26"/>
      <c r="B264" s="38"/>
      <c r="C264" s="296" t="s">
        <v>302</v>
      </c>
      <c r="D264" s="296" t="str">
        <f t="shared" si="142"/>
        <v/>
      </c>
      <c r="E264" s="406" t="str">
        <f t="shared" si="142"/>
        <v/>
      </c>
      <c r="F264" s="415"/>
      <c r="G264" s="415"/>
      <c r="H264" s="415"/>
      <c r="I264" s="415"/>
      <c r="J264" s="415"/>
      <c r="K264" s="415"/>
      <c r="L264" s="415"/>
      <c r="M264" s="38"/>
      <c r="N264" s="403" t="str">
        <f t="shared" si="101"/>
        <v/>
      </c>
      <c r="O264" s="404" t="str">
        <f t="shared" si="102"/>
        <v/>
      </c>
      <c r="P264" s="403" t="str">
        <f t="shared" si="139"/>
        <v/>
      </c>
      <c r="Q264" s="405" t="str">
        <f t="shared" si="103"/>
        <v/>
      </c>
      <c r="R264" s="406" t="str">
        <f t="shared" si="140"/>
        <v/>
      </c>
      <c r="S264" s="404" t="str">
        <f t="shared" si="104"/>
        <v/>
      </c>
      <c r="T264" s="403" t="str">
        <f t="shared" si="134"/>
        <v/>
      </c>
      <c r="U264" s="407" t="str">
        <f t="shared" si="106"/>
        <v/>
      </c>
      <c r="V264" s="408" t="str">
        <f t="shared" si="107"/>
        <v/>
      </c>
      <c r="W264" s="404" t="str">
        <f t="shared" si="108"/>
        <v/>
      </c>
      <c r="X264" s="403" t="str">
        <f t="shared" si="135"/>
        <v/>
      </c>
      <c r="Y264" s="405" t="str">
        <f t="shared" si="110"/>
        <v/>
      </c>
      <c r="Z264" s="406" t="str">
        <f t="shared" si="111"/>
        <v/>
      </c>
      <c r="AA264" s="404" t="str">
        <f t="shared" si="112"/>
        <v/>
      </c>
      <c r="AB264" s="403" t="str">
        <f t="shared" si="136"/>
        <v/>
      </c>
      <c r="AC264" s="405" t="str">
        <f t="shared" si="114"/>
        <v/>
      </c>
      <c r="AD264" s="406" t="str">
        <f t="shared" si="115"/>
        <v/>
      </c>
      <c r="AE264" s="404" t="str">
        <f t="shared" si="116"/>
        <v/>
      </c>
      <c r="AF264" s="403" t="str">
        <f t="shared" si="137"/>
        <v/>
      </c>
      <c r="AG264" s="407" t="str">
        <f t="shared" si="118"/>
        <v/>
      </c>
      <c r="AH264" s="408" t="str">
        <f t="shared" si="119"/>
        <v/>
      </c>
      <c r="AI264" s="404" t="str">
        <f t="shared" si="120"/>
        <v/>
      </c>
      <c r="AJ264" s="403" t="str">
        <f t="shared" si="138"/>
        <v/>
      </c>
      <c r="AK264" s="405" t="str">
        <f t="shared" si="122"/>
        <v/>
      </c>
      <c r="AL264" s="406" t="str">
        <f t="shared" si="123"/>
        <v/>
      </c>
      <c r="AM264" s="419" t="str">
        <f t="shared" si="124"/>
        <v/>
      </c>
      <c r="AN264" s="38"/>
    </row>
    <row r="265" spans="1:40" ht="12.75" x14ac:dyDescent="0.2">
      <c r="A265" s="26"/>
      <c r="B265" s="38"/>
      <c r="C265" s="296" t="s">
        <v>302</v>
      </c>
      <c r="D265" s="296" t="str">
        <f t="shared" si="142"/>
        <v/>
      </c>
      <c r="E265" s="406" t="str">
        <f t="shared" si="142"/>
        <v/>
      </c>
      <c r="F265" s="415"/>
      <c r="G265" s="415"/>
      <c r="H265" s="415"/>
      <c r="I265" s="415"/>
      <c r="J265" s="415"/>
      <c r="K265" s="415"/>
      <c r="L265" s="415"/>
      <c r="M265" s="38"/>
      <c r="N265" s="403" t="str">
        <f t="shared" si="101"/>
        <v/>
      </c>
      <c r="O265" s="404" t="str">
        <f t="shared" si="102"/>
        <v/>
      </c>
      <c r="P265" s="403" t="str">
        <f t="shared" si="139"/>
        <v/>
      </c>
      <c r="Q265" s="405" t="str">
        <f t="shared" si="103"/>
        <v/>
      </c>
      <c r="R265" s="406" t="str">
        <f t="shared" si="140"/>
        <v/>
      </c>
      <c r="S265" s="404" t="str">
        <f t="shared" si="104"/>
        <v/>
      </c>
      <c r="T265" s="403" t="str">
        <f t="shared" si="134"/>
        <v/>
      </c>
      <c r="U265" s="407" t="str">
        <f t="shared" si="106"/>
        <v/>
      </c>
      <c r="V265" s="408" t="str">
        <f t="shared" si="107"/>
        <v/>
      </c>
      <c r="W265" s="404" t="str">
        <f t="shared" si="108"/>
        <v/>
      </c>
      <c r="X265" s="403" t="str">
        <f t="shared" si="135"/>
        <v/>
      </c>
      <c r="Y265" s="405" t="str">
        <f t="shared" si="110"/>
        <v/>
      </c>
      <c r="Z265" s="406" t="str">
        <f t="shared" si="111"/>
        <v/>
      </c>
      <c r="AA265" s="404" t="str">
        <f t="shared" si="112"/>
        <v/>
      </c>
      <c r="AB265" s="403" t="str">
        <f t="shared" si="136"/>
        <v/>
      </c>
      <c r="AC265" s="405" t="str">
        <f t="shared" si="114"/>
        <v/>
      </c>
      <c r="AD265" s="406" t="str">
        <f t="shared" si="115"/>
        <v/>
      </c>
      <c r="AE265" s="404" t="str">
        <f t="shared" si="116"/>
        <v/>
      </c>
      <c r="AF265" s="403" t="str">
        <f t="shared" si="137"/>
        <v/>
      </c>
      <c r="AG265" s="407" t="str">
        <f t="shared" si="118"/>
        <v/>
      </c>
      <c r="AH265" s="408" t="str">
        <f t="shared" si="119"/>
        <v/>
      </c>
      <c r="AI265" s="404" t="str">
        <f t="shared" si="120"/>
        <v/>
      </c>
      <c r="AJ265" s="403" t="str">
        <f t="shared" si="138"/>
        <v/>
      </c>
      <c r="AK265" s="405" t="str">
        <f t="shared" si="122"/>
        <v/>
      </c>
      <c r="AL265" s="406" t="str">
        <f t="shared" si="123"/>
        <v/>
      </c>
      <c r="AM265" s="419" t="str">
        <f t="shared" si="124"/>
        <v/>
      </c>
      <c r="AN265" s="38"/>
    </row>
    <row r="266" spans="1:40" ht="12.75" x14ac:dyDescent="0.2">
      <c r="A266" s="26"/>
      <c r="B266" s="38"/>
      <c r="C266" s="296" t="s">
        <v>302</v>
      </c>
      <c r="D266" s="296" t="str">
        <f t="shared" si="142"/>
        <v/>
      </c>
      <c r="E266" s="406" t="str">
        <f t="shared" si="142"/>
        <v/>
      </c>
      <c r="F266" s="415"/>
      <c r="G266" s="415"/>
      <c r="H266" s="415"/>
      <c r="I266" s="415"/>
      <c r="J266" s="415"/>
      <c r="K266" s="415"/>
      <c r="L266" s="415"/>
      <c r="M266" s="38"/>
      <c r="N266" s="403" t="str">
        <f t="shared" si="101"/>
        <v/>
      </c>
      <c r="O266" s="404" t="str">
        <f t="shared" si="102"/>
        <v/>
      </c>
      <c r="P266" s="403" t="str">
        <f t="shared" si="139"/>
        <v/>
      </c>
      <c r="Q266" s="405" t="str">
        <f t="shared" si="103"/>
        <v/>
      </c>
      <c r="R266" s="406" t="str">
        <f t="shared" si="140"/>
        <v/>
      </c>
      <c r="S266" s="404" t="str">
        <f t="shared" si="104"/>
        <v/>
      </c>
      <c r="T266" s="403" t="str">
        <f t="shared" si="134"/>
        <v/>
      </c>
      <c r="U266" s="407" t="str">
        <f t="shared" si="106"/>
        <v/>
      </c>
      <c r="V266" s="408" t="str">
        <f t="shared" si="107"/>
        <v/>
      </c>
      <c r="W266" s="404" t="str">
        <f t="shared" si="108"/>
        <v/>
      </c>
      <c r="X266" s="403" t="str">
        <f t="shared" si="135"/>
        <v/>
      </c>
      <c r="Y266" s="405" t="str">
        <f t="shared" si="110"/>
        <v/>
      </c>
      <c r="Z266" s="406" t="str">
        <f t="shared" si="111"/>
        <v/>
      </c>
      <c r="AA266" s="404" t="str">
        <f t="shared" si="112"/>
        <v/>
      </c>
      <c r="AB266" s="403" t="str">
        <f t="shared" si="136"/>
        <v/>
      </c>
      <c r="AC266" s="405" t="str">
        <f t="shared" si="114"/>
        <v/>
      </c>
      <c r="AD266" s="406" t="str">
        <f t="shared" si="115"/>
        <v/>
      </c>
      <c r="AE266" s="404" t="str">
        <f t="shared" si="116"/>
        <v/>
      </c>
      <c r="AF266" s="403" t="str">
        <f t="shared" si="137"/>
        <v/>
      </c>
      <c r="AG266" s="407" t="str">
        <f t="shared" si="118"/>
        <v/>
      </c>
      <c r="AH266" s="408" t="str">
        <f t="shared" si="119"/>
        <v/>
      </c>
      <c r="AI266" s="404" t="str">
        <f t="shared" si="120"/>
        <v/>
      </c>
      <c r="AJ266" s="403" t="str">
        <f t="shared" si="138"/>
        <v/>
      </c>
      <c r="AK266" s="405" t="str">
        <f t="shared" si="122"/>
        <v/>
      </c>
      <c r="AL266" s="406" t="str">
        <f t="shared" si="123"/>
        <v/>
      </c>
      <c r="AM266" s="419" t="str">
        <f t="shared" si="124"/>
        <v/>
      </c>
      <c r="AN266" s="38"/>
    </row>
    <row r="267" spans="1:40" ht="12.75" x14ac:dyDescent="0.2">
      <c r="A267" s="26"/>
      <c r="B267" s="38"/>
      <c r="C267" s="296" t="s">
        <v>302</v>
      </c>
      <c r="D267" s="296" t="str">
        <f t="shared" si="142"/>
        <v/>
      </c>
      <c r="E267" s="406" t="str">
        <f t="shared" si="142"/>
        <v/>
      </c>
      <c r="F267" s="415"/>
      <c r="G267" s="415"/>
      <c r="H267" s="415"/>
      <c r="I267" s="415"/>
      <c r="J267" s="415"/>
      <c r="K267" s="415"/>
      <c r="L267" s="415"/>
      <c r="M267" s="38"/>
      <c r="N267" s="403" t="str">
        <f t="shared" si="101"/>
        <v/>
      </c>
      <c r="O267" s="404" t="str">
        <f t="shared" si="102"/>
        <v/>
      </c>
      <c r="P267" s="403" t="str">
        <f t="shared" si="139"/>
        <v/>
      </c>
      <c r="Q267" s="405" t="str">
        <f t="shared" si="103"/>
        <v/>
      </c>
      <c r="R267" s="406" t="str">
        <f t="shared" si="140"/>
        <v/>
      </c>
      <c r="S267" s="404" t="str">
        <f t="shared" si="104"/>
        <v/>
      </c>
      <c r="T267" s="403" t="str">
        <f t="shared" si="134"/>
        <v/>
      </c>
      <c r="U267" s="407" t="str">
        <f t="shared" si="106"/>
        <v/>
      </c>
      <c r="V267" s="408" t="str">
        <f t="shared" si="107"/>
        <v/>
      </c>
      <c r="W267" s="404" t="str">
        <f t="shared" si="108"/>
        <v/>
      </c>
      <c r="X267" s="403" t="str">
        <f t="shared" si="135"/>
        <v/>
      </c>
      <c r="Y267" s="405" t="str">
        <f t="shared" si="110"/>
        <v/>
      </c>
      <c r="Z267" s="406" t="str">
        <f t="shared" si="111"/>
        <v/>
      </c>
      <c r="AA267" s="404" t="str">
        <f t="shared" si="112"/>
        <v/>
      </c>
      <c r="AB267" s="403" t="str">
        <f t="shared" si="136"/>
        <v/>
      </c>
      <c r="AC267" s="405" t="str">
        <f t="shared" si="114"/>
        <v/>
      </c>
      <c r="AD267" s="406" t="str">
        <f t="shared" si="115"/>
        <v/>
      </c>
      <c r="AE267" s="404" t="str">
        <f t="shared" si="116"/>
        <v/>
      </c>
      <c r="AF267" s="403" t="str">
        <f t="shared" si="137"/>
        <v/>
      </c>
      <c r="AG267" s="407" t="str">
        <f t="shared" si="118"/>
        <v/>
      </c>
      <c r="AH267" s="408" t="str">
        <f t="shared" si="119"/>
        <v/>
      </c>
      <c r="AI267" s="404" t="str">
        <f t="shared" si="120"/>
        <v/>
      </c>
      <c r="AJ267" s="403" t="str">
        <f t="shared" si="138"/>
        <v/>
      </c>
      <c r="AK267" s="405" t="str">
        <f t="shared" si="122"/>
        <v/>
      </c>
      <c r="AL267" s="406" t="str">
        <f t="shared" si="123"/>
        <v/>
      </c>
      <c r="AM267" s="419" t="str">
        <f t="shared" si="124"/>
        <v/>
      </c>
      <c r="AN267" s="38"/>
    </row>
    <row r="268" spans="1:40" ht="12.75" x14ac:dyDescent="0.2">
      <c r="A268" s="26"/>
      <c r="B268" s="38"/>
      <c r="C268" s="296" t="s">
        <v>302</v>
      </c>
      <c r="D268" s="296" t="str">
        <f t="shared" si="142"/>
        <v/>
      </c>
      <c r="E268" s="406" t="str">
        <f t="shared" si="142"/>
        <v/>
      </c>
      <c r="F268" s="415"/>
      <c r="G268" s="415"/>
      <c r="H268" s="415"/>
      <c r="I268" s="415"/>
      <c r="J268" s="415"/>
      <c r="K268" s="415"/>
      <c r="L268" s="415"/>
      <c r="M268" s="38"/>
      <c r="N268" s="403" t="str">
        <f t="shared" si="101"/>
        <v/>
      </c>
      <c r="O268" s="404" t="str">
        <f t="shared" si="102"/>
        <v/>
      </c>
      <c r="P268" s="403" t="str">
        <f t="shared" si="139"/>
        <v/>
      </c>
      <c r="Q268" s="405" t="str">
        <f t="shared" si="103"/>
        <v/>
      </c>
      <c r="R268" s="406" t="str">
        <f t="shared" si="140"/>
        <v/>
      </c>
      <c r="S268" s="404" t="str">
        <f t="shared" si="104"/>
        <v/>
      </c>
      <c r="T268" s="403" t="str">
        <f t="shared" si="134"/>
        <v/>
      </c>
      <c r="U268" s="407" t="str">
        <f t="shared" si="106"/>
        <v/>
      </c>
      <c r="V268" s="408" t="str">
        <f t="shared" si="107"/>
        <v/>
      </c>
      <c r="W268" s="404" t="str">
        <f t="shared" si="108"/>
        <v/>
      </c>
      <c r="X268" s="403" t="str">
        <f t="shared" si="135"/>
        <v/>
      </c>
      <c r="Y268" s="405" t="str">
        <f t="shared" si="110"/>
        <v/>
      </c>
      <c r="Z268" s="406" t="str">
        <f t="shared" si="111"/>
        <v/>
      </c>
      <c r="AA268" s="404" t="str">
        <f t="shared" si="112"/>
        <v/>
      </c>
      <c r="AB268" s="403" t="str">
        <f t="shared" si="136"/>
        <v/>
      </c>
      <c r="AC268" s="405" t="str">
        <f t="shared" si="114"/>
        <v/>
      </c>
      <c r="AD268" s="406" t="str">
        <f t="shared" si="115"/>
        <v/>
      </c>
      <c r="AE268" s="404" t="str">
        <f t="shared" si="116"/>
        <v/>
      </c>
      <c r="AF268" s="403" t="str">
        <f t="shared" si="137"/>
        <v/>
      </c>
      <c r="AG268" s="407" t="str">
        <f t="shared" si="118"/>
        <v/>
      </c>
      <c r="AH268" s="408" t="str">
        <f t="shared" si="119"/>
        <v/>
      </c>
      <c r="AI268" s="404" t="str">
        <f t="shared" si="120"/>
        <v/>
      </c>
      <c r="AJ268" s="403" t="str">
        <f t="shared" si="138"/>
        <v/>
      </c>
      <c r="AK268" s="405" t="str">
        <f t="shared" si="122"/>
        <v/>
      </c>
      <c r="AL268" s="406" t="str">
        <f t="shared" si="123"/>
        <v/>
      </c>
      <c r="AM268" s="419" t="str">
        <f t="shared" si="124"/>
        <v/>
      </c>
      <c r="AN268" s="38"/>
    </row>
    <row r="269" spans="1:40" ht="12.75" x14ac:dyDescent="0.2">
      <c r="A269" s="26"/>
      <c r="B269" s="38"/>
      <c r="C269" s="296" t="s">
        <v>302</v>
      </c>
      <c r="D269" s="296" t="str">
        <f t="shared" si="142"/>
        <v/>
      </c>
      <c r="E269" s="406" t="str">
        <f t="shared" si="142"/>
        <v/>
      </c>
      <c r="F269" s="415"/>
      <c r="G269" s="415"/>
      <c r="H269" s="415"/>
      <c r="I269" s="415"/>
      <c r="J269" s="415"/>
      <c r="K269" s="415"/>
      <c r="L269" s="415"/>
      <c r="M269" s="38"/>
      <c r="N269" s="403" t="str">
        <f t="shared" si="101"/>
        <v/>
      </c>
      <c r="O269" s="404" t="str">
        <f t="shared" si="102"/>
        <v/>
      </c>
      <c r="P269" s="403" t="str">
        <f t="shared" si="139"/>
        <v/>
      </c>
      <c r="Q269" s="405" t="str">
        <f t="shared" si="103"/>
        <v/>
      </c>
      <c r="R269" s="406" t="str">
        <f t="shared" si="140"/>
        <v/>
      </c>
      <c r="S269" s="404" t="str">
        <f t="shared" si="104"/>
        <v/>
      </c>
      <c r="T269" s="403" t="str">
        <f t="shared" si="134"/>
        <v/>
      </c>
      <c r="U269" s="407" t="str">
        <f t="shared" si="106"/>
        <v/>
      </c>
      <c r="V269" s="408" t="str">
        <f t="shared" si="107"/>
        <v/>
      </c>
      <c r="W269" s="404" t="str">
        <f t="shared" si="108"/>
        <v/>
      </c>
      <c r="X269" s="403" t="str">
        <f t="shared" si="135"/>
        <v/>
      </c>
      <c r="Y269" s="405" t="str">
        <f t="shared" si="110"/>
        <v/>
      </c>
      <c r="Z269" s="406" t="str">
        <f t="shared" si="111"/>
        <v/>
      </c>
      <c r="AA269" s="404" t="str">
        <f t="shared" si="112"/>
        <v/>
      </c>
      <c r="AB269" s="403" t="str">
        <f t="shared" si="136"/>
        <v/>
      </c>
      <c r="AC269" s="405" t="str">
        <f t="shared" si="114"/>
        <v/>
      </c>
      <c r="AD269" s="406" t="str">
        <f t="shared" si="115"/>
        <v/>
      </c>
      <c r="AE269" s="404" t="str">
        <f t="shared" si="116"/>
        <v/>
      </c>
      <c r="AF269" s="403" t="str">
        <f t="shared" si="137"/>
        <v/>
      </c>
      <c r="AG269" s="407" t="str">
        <f t="shared" si="118"/>
        <v/>
      </c>
      <c r="AH269" s="408" t="str">
        <f t="shared" si="119"/>
        <v/>
      </c>
      <c r="AI269" s="404" t="str">
        <f t="shared" si="120"/>
        <v/>
      </c>
      <c r="AJ269" s="403" t="str">
        <f t="shared" si="138"/>
        <v/>
      </c>
      <c r="AK269" s="405" t="str">
        <f t="shared" si="122"/>
        <v/>
      </c>
      <c r="AL269" s="406" t="str">
        <f t="shared" si="123"/>
        <v/>
      </c>
      <c r="AM269" s="419" t="str">
        <f t="shared" si="124"/>
        <v/>
      </c>
      <c r="AN269" s="38"/>
    </row>
    <row r="270" spans="1:40" ht="12.75" x14ac:dyDescent="0.2">
      <c r="A270" s="26"/>
      <c r="B270" s="38"/>
      <c r="C270" s="296" t="s">
        <v>302</v>
      </c>
      <c r="D270" s="296" t="str">
        <f t="shared" si="142"/>
        <v/>
      </c>
      <c r="E270" s="406" t="str">
        <f t="shared" si="142"/>
        <v/>
      </c>
      <c r="F270" s="415"/>
      <c r="G270" s="415"/>
      <c r="H270" s="415"/>
      <c r="I270" s="415"/>
      <c r="J270" s="415"/>
      <c r="K270" s="415"/>
      <c r="L270" s="415"/>
      <c r="M270" s="38"/>
      <c r="N270" s="403" t="str">
        <f t="shared" si="101"/>
        <v/>
      </c>
      <c r="O270" s="404" t="str">
        <f t="shared" si="102"/>
        <v/>
      </c>
      <c r="P270" s="403" t="str">
        <f t="shared" si="139"/>
        <v/>
      </c>
      <c r="Q270" s="405" t="str">
        <f t="shared" si="103"/>
        <v/>
      </c>
      <c r="R270" s="406" t="str">
        <f t="shared" si="140"/>
        <v/>
      </c>
      <c r="S270" s="404" t="str">
        <f t="shared" si="104"/>
        <v/>
      </c>
      <c r="T270" s="403" t="str">
        <f t="shared" si="134"/>
        <v/>
      </c>
      <c r="U270" s="407" t="str">
        <f t="shared" si="106"/>
        <v/>
      </c>
      <c r="V270" s="408" t="str">
        <f t="shared" si="107"/>
        <v/>
      </c>
      <c r="W270" s="404" t="str">
        <f t="shared" si="108"/>
        <v/>
      </c>
      <c r="X270" s="403" t="str">
        <f t="shared" si="135"/>
        <v/>
      </c>
      <c r="Y270" s="405" t="str">
        <f t="shared" si="110"/>
        <v/>
      </c>
      <c r="Z270" s="406" t="str">
        <f t="shared" si="111"/>
        <v/>
      </c>
      <c r="AA270" s="404" t="str">
        <f t="shared" si="112"/>
        <v/>
      </c>
      <c r="AB270" s="403" t="str">
        <f t="shared" si="136"/>
        <v/>
      </c>
      <c r="AC270" s="405" t="str">
        <f t="shared" si="114"/>
        <v/>
      </c>
      <c r="AD270" s="406" t="str">
        <f t="shared" si="115"/>
        <v/>
      </c>
      <c r="AE270" s="404" t="str">
        <f t="shared" si="116"/>
        <v/>
      </c>
      <c r="AF270" s="403" t="str">
        <f t="shared" si="137"/>
        <v/>
      </c>
      <c r="AG270" s="407" t="str">
        <f t="shared" si="118"/>
        <v/>
      </c>
      <c r="AH270" s="408" t="str">
        <f t="shared" si="119"/>
        <v/>
      </c>
      <c r="AI270" s="404" t="str">
        <f t="shared" si="120"/>
        <v/>
      </c>
      <c r="AJ270" s="403" t="str">
        <f t="shared" si="138"/>
        <v/>
      </c>
      <c r="AK270" s="405" t="str">
        <f t="shared" si="122"/>
        <v/>
      </c>
      <c r="AL270" s="406" t="str">
        <f t="shared" si="123"/>
        <v/>
      </c>
      <c r="AM270" s="419" t="str">
        <f t="shared" si="124"/>
        <v/>
      </c>
      <c r="AN270" s="38"/>
    </row>
    <row r="271" spans="1:40" ht="12.75" x14ac:dyDescent="0.2">
      <c r="A271" s="26"/>
      <c r="B271" s="38"/>
      <c r="C271" s="296" t="s">
        <v>637</v>
      </c>
      <c r="D271" s="296" t="str">
        <f>D145</f>
        <v/>
      </c>
      <c r="E271" s="406" t="str">
        <f t="shared" ref="E271:E280" si="144">E145</f>
        <v/>
      </c>
      <c r="F271" s="415"/>
      <c r="G271" s="415"/>
      <c r="H271" s="415"/>
      <c r="I271" s="415"/>
      <c r="J271" s="415"/>
      <c r="K271" s="415"/>
      <c r="L271" s="415"/>
      <c r="M271" s="38"/>
      <c r="N271" s="403" t="str">
        <f t="shared" si="101"/>
        <v/>
      </c>
      <c r="O271" s="404" t="str">
        <f t="shared" si="102"/>
        <v/>
      </c>
      <c r="P271" s="403" t="str">
        <f t="shared" si="139"/>
        <v/>
      </c>
      <c r="Q271" s="405" t="str">
        <f t="shared" si="103"/>
        <v/>
      </c>
      <c r="R271" s="406" t="str">
        <f t="shared" si="140"/>
        <v/>
      </c>
      <c r="S271" s="404" t="str">
        <f t="shared" si="104"/>
        <v/>
      </c>
      <c r="T271" s="403" t="str">
        <f t="shared" si="134"/>
        <v/>
      </c>
      <c r="U271" s="407" t="str">
        <f t="shared" si="106"/>
        <v/>
      </c>
      <c r="V271" s="408" t="str">
        <f t="shared" si="107"/>
        <v/>
      </c>
      <c r="W271" s="404" t="str">
        <f t="shared" si="108"/>
        <v/>
      </c>
      <c r="X271" s="403" t="str">
        <f t="shared" si="135"/>
        <v/>
      </c>
      <c r="Y271" s="405" t="str">
        <f t="shared" si="110"/>
        <v/>
      </c>
      <c r="Z271" s="406" t="str">
        <f t="shared" si="111"/>
        <v/>
      </c>
      <c r="AA271" s="404" t="str">
        <f t="shared" si="112"/>
        <v/>
      </c>
      <c r="AB271" s="403" t="str">
        <f t="shared" si="136"/>
        <v/>
      </c>
      <c r="AC271" s="405" t="str">
        <f t="shared" si="114"/>
        <v/>
      </c>
      <c r="AD271" s="406" t="str">
        <f t="shared" si="115"/>
        <v/>
      </c>
      <c r="AE271" s="404" t="str">
        <f t="shared" si="116"/>
        <v/>
      </c>
      <c r="AF271" s="403" t="str">
        <f t="shared" si="137"/>
        <v/>
      </c>
      <c r="AG271" s="407" t="str">
        <f t="shared" si="118"/>
        <v/>
      </c>
      <c r="AH271" s="408" t="str">
        <f t="shared" si="119"/>
        <v/>
      </c>
      <c r="AI271" s="404" t="str">
        <f t="shared" si="120"/>
        <v/>
      </c>
      <c r="AJ271" s="403" t="str">
        <f t="shared" si="138"/>
        <v/>
      </c>
      <c r="AK271" s="405" t="str">
        <f t="shared" si="122"/>
        <v/>
      </c>
      <c r="AL271" s="406" t="str">
        <f t="shared" si="123"/>
        <v/>
      </c>
      <c r="AM271" s="419" t="str">
        <f t="shared" si="124"/>
        <v/>
      </c>
      <c r="AN271" s="38"/>
    </row>
    <row r="272" spans="1:40" ht="12.75" x14ac:dyDescent="0.2">
      <c r="A272" s="26"/>
      <c r="B272" s="38"/>
      <c r="C272" s="296" t="s">
        <v>637</v>
      </c>
      <c r="D272" s="296" t="str">
        <f t="shared" ref="D272:D280" si="145">D146</f>
        <v/>
      </c>
      <c r="E272" s="406" t="str">
        <f t="shared" si="144"/>
        <v/>
      </c>
      <c r="F272" s="415"/>
      <c r="G272" s="415"/>
      <c r="H272" s="415"/>
      <c r="I272" s="415"/>
      <c r="J272" s="415"/>
      <c r="K272" s="415"/>
      <c r="L272" s="415"/>
      <c r="M272" s="38"/>
      <c r="N272" s="403" t="str">
        <f t="shared" si="101"/>
        <v/>
      </c>
      <c r="O272" s="404" t="str">
        <f t="shared" si="102"/>
        <v/>
      </c>
      <c r="P272" s="403" t="str">
        <f t="shared" si="139"/>
        <v/>
      </c>
      <c r="Q272" s="405" t="str">
        <f t="shared" si="103"/>
        <v/>
      </c>
      <c r="R272" s="406" t="str">
        <f t="shared" si="140"/>
        <v/>
      </c>
      <c r="S272" s="404" t="str">
        <f t="shared" si="104"/>
        <v/>
      </c>
      <c r="T272" s="403" t="str">
        <f t="shared" si="134"/>
        <v/>
      </c>
      <c r="U272" s="407" t="str">
        <f t="shared" si="106"/>
        <v/>
      </c>
      <c r="V272" s="408" t="str">
        <f t="shared" si="107"/>
        <v/>
      </c>
      <c r="W272" s="404" t="str">
        <f t="shared" si="108"/>
        <v/>
      </c>
      <c r="X272" s="403" t="str">
        <f t="shared" si="135"/>
        <v/>
      </c>
      <c r="Y272" s="405" t="str">
        <f t="shared" si="110"/>
        <v/>
      </c>
      <c r="Z272" s="406" t="str">
        <f t="shared" si="111"/>
        <v/>
      </c>
      <c r="AA272" s="404" t="str">
        <f t="shared" si="112"/>
        <v/>
      </c>
      <c r="AB272" s="403" t="str">
        <f t="shared" si="136"/>
        <v/>
      </c>
      <c r="AC272" s="405" t="str">
        <f t="shared" si="114"/>
        <v/>
      </c>
      <c r="AD272" s="406" t="str">
        <f t="shared" si="115"/>
        <v/>
      </c>
      <c r="AE272" s="404" t="str">
        <f t="shared" si="116"/>
        <v/>
      </c>
      <c r="AF272" s="403" t="str">
        <f t="shared" si="137"/>
        <v/>
      </c>
      <c r="AG272" s="407" t="str">
        <f t="shared" si="118"/>
        <v/>
      </c>
      <c r="AH272" s="408" t="str">
        <f t="shared" si="119"/>
        <v/>
      </c>
      <c r="AI272" s="404" t="str">
        <f t="shared" si="120"/>
        <v/>
      </c>
      <c r="AJ272" s="403" t="str">
        <f t="shared" si="138"/>
        <v/>
      </c>
      <c r="AK272" s="405" t="str">
        <f t="shared" si="122"/>
        <v/>
      </c>
      <c r="AL272" s="406" t="str">
        <f t="shared" si="123"/>
        <v/>
      </c>
      <c r="AM272" s="419" t="str">
        <f t="shared" si="124"/>
        <v/>
      </c>
      <c r="AN272" s="38"/>
    </row>
    <row r="273" spans="1:40" ht="12.75" x14ac:dyDescent="0.2">
      <c r="A273" s="26"/>
      <c r="B273" s="38"/>
      <c r="C273" s="296" t="s">
        <v>637</v>
      </c>
      <c r="D273" s="296" t="str">
        <f t="shared" si="145"/>
        <v/>
      </c>
      <c r="E273" s="406" t="str">
        <f t="shared" si="144"/>
        <v/>
      </c>
      <c r="F273" s="415"/>
      <c r="G273" s="415"/>
      <c r="H273" s="415"/>
      <c r="I273" s="415"/>
      <c r="J273" s="415"/>
      <c r="K273" s="415"/>
      <c r="L273" s="415"/>
      <c r="M273" s="38"/>
      <c r="N273" s="403" t="str">
        <f t="shared" si="101"/>
        <v/>
      </c>
      <c r="O273" s="404" t="str">
        <f t="shared" si="102"/>
        <v/>
      </c>
      <c r="P273" s="403" t="str">
        <f t="shared" si="139"/>
        <v/>
      </c>
      <c r="Q273" s="405" t="str">
        <f t="shared" si="103"/>
        <v/>
      </c>
      <c r="R273" s="406" t="str">
        <f t="shared" si="140"/>
        <v/>
      </c>
      <c r="S273" s="404" t="str">
        <f t="shared" si="104"/>
        <v/>
      </c>
      <c r="T273" s="403" t="str">
        <f t="shared" si="134"/>
        <v/>
      </c>
      <c r="U273" s="407" t="str">
        <f t="shared" si="106"/>
        <v/>
      </c>
      <c r="V273" s="408" t="str">
        <f t="shared" si="107"/>
        <v/>
      </c>
      <c r="W273" s="404" t="str">
        <f t="shared" si="108"/>
        <v/>
      </c>
      <c r="X273" s="403" t="str">
        <f t="shared" si="135"/>
        <v/>
      </c>
      <c r="Y273" s="405" t="str">
        <f t="shared" si="110"/>
        <v/>
      </c>
      <c r="Z273" s="406" t="str">
        <f t="shared" si="111"/>
        <v/>
      </c>
      <c r="AA273" s="404" t="str">
        <f t="shared" si="112"/>
        <v/>
      </c>
      <c r="AB273" s="403" t="str">
        <f t="shared" si="136"/>
        <v/>
      </c>
      <c r="AC273" s="405" t="str">
        <f t="shared" si="114"/>
        <v/>
      </c>
      <c r="AD273" s="406" t="str">
        <f t="shared" si="115"/>
        <v/>
      </c>
      <c r="AE273" s="404" t="str">
        <f t="shared" si="116"/>
        <v/>
      </c>
      <c r="AF273" s="403" t="str">
        <f t="shared" si="137"/>
        <v/>
      </c>
      <c r="AG273" s="407" t="str">
        <f t="shared" si="118"/>
        <v/>
      </c>
      <c r="AH273" s="408" t="str">
        <f t="shared" si="119"/>
        <v/>
      </c>
      <c r="AI273" s="404" t="str">
        <f t="shared" si="120"/>
        <v/>
      </c>
      <c r="AJ273" s="403" t="str">
        <f t="shared" si="138"/>
        <v/>
      </c>
      <c r="AK273" s="405" t="str">
        <f t="shared" si="122"/>
        <v/>
      </c>
      <c r="AL273" s="406" t="str">
        <f t="shared" si="123"/>
        <v/>
      </c>
      <c r="AM273" s="419" t="str">
        <f t="shared" si="124"/>
        <v/>
      </c>
      <c r="AN273" s="38"/>
    </row>
    <row r="274" spans="1:40" ht="12.75" x14ac:dyDescent="0.2">
      <c r="A274" s="26"/>
      <c r="B274" s="38"/>
      <c r="C274" s="296" t="s">
        <v>637</v>
      </c>
      <c r="D274" s="296" t="str">
        <f t="shared" si="145"/>
        <v/>
      </c>
      <c r="E274" s="406" t="str">
        <f t="shared" si="144"/>
        <v/>
      </c>
      <c r="F274" s="415"/>
      <c r="G274" s="415"/>
      <c r="H274" s="415"/>
      <c r="I274" s="415"/>
      <c r="J274" s="415"/>
      <c r="K274" s="415"/>
      <c r="L274" s="415"/>
      <c r="M274" s="38"/>
      <c r="N274" s="403" t="str">
        <f t="shared" si="101"/>
        <v/>
      </c>
      <c r="O274" s="404" t="str">
        <f t="shared" si="102"/>
        <v/>
      </c>
      <c r="P274" s="403" t="str">
        <f t="shared" si="139"/>
        <v/>
      </c>
      <c r="Q274" s="405" t="str">
        <f t="shared" si="103"/>
        <v/>
      </c>
      <c r="R274" s="406" t="str">
        <f t="shared" si="140"/>
        <v/>
      </c>
      <c r="S274" s="404" t="str">
        <f t="shared" si="104"/>
        <v/>
      </c>
      <c r="T274" s="403" t="str">
        <f t="shared" si="134"/>
        <v/>
      </c>
      <c r="U274" s="407" t="str">
        <f t="shared" si="106"/>
        <v/>
      </c>
      <c r="V274" s="408" t="str">
        <f t="shared" si="107"/>
        <v/>
      </c>
      <c r="W274" s="404" t="str">
        <f t="shared" si="108"/>
        <v/>
      </c>
      <c r="X274" s="403" t="str">
        <f t="shared" si="135"/>
        <v/>
      </c>
      <c r="Y274" s="405" t="str">
        <f t="shared" si="110"/>
        <v/>
      </c>
      <c r="Z274" s="406" t="str">
        <f t="shared" si="111"/>
        <v/>
      </c>
      <c r="AA274" s="404" t="str">
        <f t="shared" si="112"/>
        <v/>
      </c>
      <c r="AB274" s="403" t="str">
        <f t="shared" si="136"/>
        <v/>
      </c>
      <c r="AC274" s="405" t="str">
        <f t="shared" si="114"/>
        <v/>
      </c>
      <c r="AD274" s="406" t="str">
        <f t="shared" si="115"/>
        <v/>
      </c>
      <c r="AE274" s="404" t="str">
        <f t="shared" si="116"/>
        <v/>
      </c>
      <c r="AF274" s="403" t="str">
        <f t="shared" si="137"/>
        <v/>
      </c>
      <c r="AG274" s="407" t="str">
        <f t="shared" si="118"/>
        <v/>
      </c>
      <c r="AH274" s="408" t="str">
        <f t="shared" si="119"/>
        <v/>
      </c>
      <c r="AI274" s="404" t="str">
        <f t="shared" si="120"/>
        <v/>
      </c>
      <c r="AJ274" s="403" t="str">
        <f t="shared" si="138"/>
        <v/>
      </c>
      <c r="AK274" s="405" t="str">
        <f t="shared" si="122"/>
        <v/>
      </c>
      <c r="AL274" s="406" t="str">
        <f t="shared" si="123"/>
        <v/>
      </c>
      <c r="AM274" s="419" t="str">
        <f t="shared" si="124"/>
        <v/>
      </c>
      <c r="AN274" s="38"/>
    </row>
    <row r="275" spans="1:40" ht="12.75" x14ac:dyDescent="0.2">
      <c r="A275" s="26"/>
      <c r="B275" s="38"/>
      <c r="C275" s="296" t="s">
        <v>637</v>
      </c>
      <c r="D275" s="296" t="str">
        <f t="shared" si="145"/>
        <v/>
      </c>
      <c r="E275" s="406" t="str">
        <f t="shared" si="144"/>
        <v/>
      </c>
      <c r="F275" s="415"/>
      <c r="G275" s="415"/>
      <c r="H275" s="415"/>
      <c r="I275" s="415"/>
      <c r="J275" s="415"/>
      <c r="K275" s="415"/>
      <c r="L275" s="415"/>
      <c r="M275" s="38"/>
      <c r="N275" s="403" t="str">
        <f t="shared" si="101"/>
        <v/>
      </c>
      <c r="O275" s="404" t="str">
        <f t="shared" si="102"/>
        <v/>
      </c>
      <c r="P275" s="403" t="str">
        <f t="shared" si="139"/>
        <v/>
      </c>
      <c r="Q275" s="405" t="str">
        <f t="shared" si="103"/>
        <v/>
      </c>
      <c r="R275" s="406" t="str">
        <f t="shared" si="140"/>
        <v/>
      </c>
      <c r="S275" s="404" t="str">
        <f t="shared" si="104"/>
        <v/>
      </c>
      <c r="T275" s="403" t="str">
        <f t="shared" si="134"/>
        <v/>
      </c>
      <c r="U275" s="407" t="str">
        <f t="shared" si="106"/>
        <v/>
      </c>
      <c r="V275" s="408" t="str">
        <f t="shared" si="107"/>
        <v/>
      </c>
      <c r="W275" s="404" t="str">
        <f t="shared" si="108"/>
        <v/>
      </c>
      <c r="X275" s="403" t="str">
        <f t="shared" si="135"/>
        <v/>
      </c>
      <c r="Y275" s="405" t="str">
        <f t="shared" si="110"/>
        <v/>
      </c>
      <c r="Z275" s="406" t="str">
        <f t="shared" si="111"/>
        <v/>
      </c>
      <c r="AA275" s="404" t="str">
        <f t="shared" si="112"/>
        <v/>
      </c>
      <c r="AB275" s="403" t="str">
        <f t="shared" si="136"/>
        <v/>
      </c>
      <c r="AC275" s="405" t="str">
        <f t="shared" si="114"/>
        <v/>
      </c>
      <c r="AD275" s="406" t="str">
        <f t="shared" si="115"/>
        <v/>
      </c>
      <c r="AE275" s="404" t="str">
        <f t="shared" si="116"/>
        <v/>
      </c>
      <c r="AF275" s="403" t="str">
        <f t="shared" si="137"/>
        <v/>
      </c>
      <c r="AG275" s="407" t="str">
        <f t="shared" si="118"/>
        <v/>
      </c>
      <c r="AH275" s="408" t="str">
        <f t="shared" si="119"/>
        <v/>
      </c>
      <c r="AI275" s="404" t="str">
        <f t="shared" si="120"/>
        <v/>
      </c>
      <c r="AJ275" s="403" t="str">
        <f t="shared" si="138"/>
        <v/>
      </c>
      <c r="AK275" s="405" t="str">
        <f t="shared" si="122"/>
        <v/>
      </c>
      <c r="AL275" s="406" t="str">
        <f t="shared" si="123"/>
        <v/>
      </c>
      <c r="AM275" s="419" t="str">
        <f t="shared" si="124"/>
        <v/>
      </c>
      <c r="AN275" s="38"/>
    </row>
    <row r="276" spans="1:40" ht="12.75" x14ac:dyDescent="0.2">
      <c r="A276" s="26"/>
      <c r="B276" s="38"/>
      <c r="C276" s="296" t="s">
        <v>637</v>
      </c>
      <c r="D276" s="296" t="str">
        <f t="shared" si="145"/>
        <v/>
      </c>
      <c r="E276" s="406" t="str">
        <f t="shared" si="144"/>
        <v/>
      </c>
      <c r="F276" s="415"/>
      <c r="G276" s="415"/>
      <c r="H276" s="415"/>
      <c r="I276" s="415"/>
      <c r="J276" s="415"/>
      <c r="K276" s="415"/>
      <c r="L276" s="415"/>
      <c r="M276" s="38"/>
      <c r="N276" s="403" t="str">
        <f t="shared" si="101"/>
        <v/>
      </c>
      <c r="O276" s="404" t="str">
        <f t="shared" si="102"/>
        <v/>
      </c>
      <c r="P276" s="403" t="str">
        <f t="shared" si="139"/>
        <v/>
      </c>
      <c r="Q276" s="405" t="str">
        <f t="shared" si="103"/>
        <v/>
      </c>
      <c r="R276" s="406" t="str">
        <f t="shared" si="140"/>
        <v/>
      </c>
      <c r="S276" s="404" t="str">
        <f t="shared" si="104"/>
        <v/>
      </c>
      <c r="T276" s="403" t="str">
        <f t="shared" si="134"/>
        <v/>
      </c>
      <c r="U276" s="407" t="str">
        <f t="shared" si="106"/>
        <v/>
      </c>
      <c r="V276" s="408" t="str">
        <f t="shared" si="107"/>
        <v/>
      </c>
      <c r="W276" s="404" t="str">
        <f t="shared" si="108"/>
        <v/>
      </c>
      <c r="X276" s="403" t="str">
        <f t="shared" si="135"/>
        <v/>
      </c>
      <c r="Y276" s="405" t="str">
        <f t="shared" si="110"/>
        <v/>
      </c>
      <c r="Z276" s="406" t="str">
        <f t="shared" si="111"/>
        <v/>
      </c>
      <c r="AA276" s="404" t="str">
        <f t="shared" si="112"/>
        <v/>
      </c>
      <c r="AB276" s="403" t="str">
        <f t="shared" si="136"/>
        <v/>
      </c>
      <c r="AC276" s="405" t="str">
        <f t="shared" si="114"/>
        <v/>
      </c>
      <c r="AD276" s="406" t="str">
        <f t="shared" si="115"/>
        <v/>
      </c>
      <c r="AE276" s="404" t="str">
        <f t="shared" si="116"/>
        <v/>
      </c>
      <c r="AF276" s="403" t="str">
        <f t="shared" si="137"/>
        <v/>
      </c>
      <c r="AG276" s="407" t="str">
        <f t="shared" si="118"/>
        <v/>
      </c>
      <c r="AH276" s="408" t="str">
        <f t="shared" si="119"/>
        <v/>
      </c>
      <c r="AI276" s="404" t="str">
        <f t="shared" si="120"/>
        <v/>
      </c>
      <c r="AJ276" s="403" t="str">
        <f t="shared" si="138"/>
        <v/>
      </c>
      <c r="AK276" s="405" t="str">
        <f t="shared" si="122"/>
        <v/>
      </c>
      <c r="AL276" s="406" t="str">
        <f t="shared" si="123"/>
        <v/>
      </c>
      <c r="AM276" s="419" t="str">
        <f t="shared" si="124"/>
        <v/>
      </c>
      <c r="AN276" s="38"/>
    </row>
    <row r="277" spans="1:40" ht="12.75" x14ac:dyDescent="0.2">
      <c r="A277" s="26"/>
      <c r="B277" s="38"/>
      <c r="C277" s="296" t="s">
        <v>637</v>
      </c>
      <c r="D277" s="296" t="str">
        <f t="shared" si="145"/>
        <v/>
      </c>
      <c r="E277" s="406" t="str">
        <f t="shared" si="144"/>
        <v/>
      </c>
      <c r="F277" s="415"/>
      <c r="G277" s="415"/>
      <c r="H277" s="415"/>
      <c r="I277" s="415"/>
      <c r="J277" s="415"/>
      <c r="K277" s="415"/>
      <c r="L277" s="415"/>
      <c r="M277" s="38"/>
      <c r="N277" s="403" t="str">
        <f t="shared" si="101"/>
        <v/>
      </c>
      <c r="O277" s="404" t="str">
        <f t="shared" si="102"/>
        <v/>
      </c>
      <c r="P277" s="403" t="str">
        <f t="shared" si="139"/>
        <v/>
      </c>
      <c r="Q277" s="405" t="str">
        <f t="shared" si="103"/>
        <v/>
      </c>
      <c r="R277" s="406" t="str">
        <f t="shared" si="140"/>
        <v/>
      </c>
      <c r="S277" s="404" t="str">
        <f t="shared" si="104"/>
        <v/>
      </c>
      <c r="T277" s="403" t="str">
        <f t="shared" si="134"/>
        <v/>
      </c>
      <c r="U277" s="407" t="str">
        <f t="shared" si="106"/>
        <v/>
      </c>
      <c r="V277" s="408" t="str">
        <f t="shared" si="107"/>
        <v/>
      </c>
      <c r="W277" s="404" t="str">
        <f t="shared" si="108"/>
        <v/>
      </c>
      <c r="X277" s="403" t="str">
        <f t="shared" si="135"/>
        <v/>
      </c>
      <c r="Y277" s="405" t="str">
        <f t="shared" si="110"/>
        <v/>
      </c>
      <c r="Z277" s="406" t="str">
        <f t="shared" si="111"/>
        <v/>
      </c>
      <c r="AA277" s="404" t="str">
        <f t="shared" si="112"/>
        <v/>
      </c>
      <c r="AB277" s="403" t="str">
        <f t="shared" si="136"/>
        <v/>
      </c>
      <c r="AC277" s="405" t="str">
        <f t="shared" si="114"/>
        <v/>
      </c>
      <c r="AD277" s="406" t="str">
        <f t="shared" si="115"/>
        <v/>
      </c>
      <c r="AE277" s="404" t="str">
        <f t="shared" si="116"/>
        <v/>
      </c>
      <c r="AF277" s="403" t="str">
        <f t="shared" si="137"/>
        <v/>
      </c>
      <c r="AG277" s="407" t="str">
        <f t="shared" si="118"/>
        <v/>
      </c>
      <c r="AH277" s="408" t="str">
        <f t="shared" si="119"/>
        <v/>
      </c>
      <c r="AI277" s="404" t="str">
        <f t="shared" si="120"/>
        <v/>
      </c>
      <c r="AJ277" s="403" t="str">
        <f t="shared" si="138"/>
        <v/>
      </c>
      <c r="AK277" s="405" t="str">
        <f t="shared" si="122"/>
        <v/>
      </c>
      <c r="AL277" s="406" t="str">
        <f t="shared" si="123"/>
        <v/>
      </c>
      <c r="AM277" s="419" t="str">
        <f t="shared" si="124"/>
        <v/>
      </c>
      <c r="AN277" s="38"/>
    </row>
    <row r="278" spans="1:40" ht="12.75" x14ac:dyDescent="0.2">
      <c r="A278" s="26"/>
      <c r="B278" s="38"/>
      <c r="C278" s="296" t="s">
        <v>637</v>
      </c>
      <c r="D278" s="296" t="str">
        <f t="shared" si="145"/>
        <v/>
      </c>
      <c r="E278" s="406" t="str">
        <f t="shared" si="144"/>
        <v/>
      </c>
      <c r="F278" s="415"/>
      <c r="G278" s="415"/>
      <c r="H278" s="415"/>
      <c r="I278" s="415"/>
      <c r="J278" s="415"/>
      <c r="K278" s="415"/>
      <c r="L278" s="415"/>
      <c r="M278" s="38"/>
      <c r="N278" s="403" t="str">
        <f t="shared" si="101"/>
        <v/>
      </c>
      <c r="O278" s="404" t="str">
        <f t="shared" si="102"/>
        <v/>
      </c>
      <c r="P278" s="403" t="str">
        <f t="shared" si="139"/>
        <v/>
      </c>
      <c r="Q278" s="405" t="str">
        <f t="shared" si="103"/>
        <v/>
      </c>
      <c r="R278" s="406" t="str">
        <f t="shared" si="140"/>
        <v/>
      </c>
      <c r="S278" s="404" t="str">
        <f t="shared" si="104"/>
        <v/>
      </c>
      <c r="T278" s="403" t="str">
        <f t="shared" si="134"/>
        <v/>
      </c>
      <c r="U278" s="407" t="str">
        <f t="shared" si="106"/>
        <v/>
      </c>
      <c r="V278" s="408" t="str">
        <f t="shared" si="107"/>
        <v/>
      </c>
      <c r="W278" s="404" t="str">
        <f t="shared" si="108"/>
        <v/>
      </c>
      <c r="X278" s="403" t="str">
        <f t="shared" si="135"/>
        <v/>
      </c>
      <c r="Y278" s="405" t="str">
        <f t="shared" si="110"/>
        <v/>
      </c>
      <c r="Z278" s="406" t="str">
        <f t="shared" si="111"/>
        <v/>
      </c>
      <c r="AA278" s="404" t="str">
        <f t="shared" si="112"/>
        <v/>
      </c>
      <c r="AB278" s="403" t="str">
        <f t="shared" si="136"/>
        <v/>
      </c>
      <c r="AC278" s="405" t="str">
        <f t="shared" si="114"/>
        <v/>
      </c>
      <c r="AD278" s="406" t="str">
        <f t="shared" si="115"/>
        <v/>
      </c>
      <c r="AE278" s="404" t="str">
        <f t="shared" si="116"/>
        <v/>
      </c>
      <c r="AF278" s="403" t="str">
        <f t="shared" si="137"/>
        <v/>
      </c>
      <c r="AG278" s="407" t="str">
        <f t="shared" si="118"/>
        <v/>
      </c>
      <c r="AH278" s="408" t="str">
        <f t="shared" si="119"/>
        <v/>
      </c>
      <c r="AI278" s="404" t="str">
        <f t="shared" si="120"/>
        <v/>
      </c>
      <c r="AJ278" s="403" t="str">
        <f t="shared" si="138"/>
        <v/>
      </c>
      <c r="AK278" s="405" t="str">
        <f t="shared" si="122"/>
        <v/>
      </c>
      <c r="AL278" s="406" t="str">
        <f t="shared" si="123"/>
        <v/>
      </c>
      <c r="AM278" s="419" t="str">
        <f t="shared" si="124"/>
        <v/>
      </c>
      <c r="AN278" s="38"/>
    </row>
    <row r="279" spans="1:40" ht="12.75" x14ac:dyDescent="0.2">
      <c r="A279" s="26"/>
      <c r="B279" s="38"/>
      <c r="C279" s="296" t="s">
        <v>637</v>
      </c>
      <c r="D279" s="296" t="str">
        <f t="shared" si="145"/>
        <v/>
      </c>
      <c r="E279" s="406" t="str">
        <f t="shared" si="144"/>
        <v/>
      </c>
      <c r="F279" s="415"/>
      <c r="G279" s="415"/>
      <c r="H279" s="415"/>
      <c r="I279" s="415"/>
      <c r="J279" s="415"/>
      <c r="K279" s="415"/>
      <c r="L279" s="415"/>
      <c r="M279" s="38"/>
      <c r="N279" s="403" t="str">
        <f t="shared" si="101"/>
        <v/>
      </c>
      <c r="O279" s="404" t="str">
        <f t="shared" si="102"/>
        <v/>
      </c>
      <c r="P279" s="403" t="str">
        <f t="shared" si="139"/>
        <v/>
      </c>
      <c r="Q279" s="405" t="str">
        <f t="shared" si="103"/>
        <v/>
      </c>
      <c r="R279" s="406" t="str">
        <f t="shared" si="140"/>
        <v/>
      </c>
      <c r="S279" s="404" t="str">
        <f t="shared" si="104"/>
        <v/>
      </c>
      <c r="T279" s="403" t="str">
        <f t="shared" si="134"/>
        <v/>
      </c>
      <c r="U279" s="407" t="str">
        <f t="shared" si="106"/>
        <v/>
      </c>
      <c r="V279" s="408" t="str">
        <f t="shared" si="107"/>
        <v/>
      </c>
      <c r="W279" s="404" t="str">
        <f t="shared" si="108"/>
        <v/>
      </c>
      <c r="X279" s="403" t="str">
        <f t="shared" si="135"/>
        <v/>
      </c>
      <c r="Y279" s="405" t="str">
        <f t="shared" si="110"/>
        <v/>
      </c>
      <c r="Z279" s="406" t="str">
        <f t="shared" si="111"/>
        <v/>
      </c>
      <c r="AA279" s="404" t="str">
        <f t="shared" si="112"/>
        <v/>
      </c>
      <c r="AB279" s="403" t="str">
        <f t="shared" si="136"/>
        <v/>
      </c>
      <c r="AC279" s="405" t="str">
        <f t="shared" si="114"/>
        <v/>
      </c>
      <c r="AD279" s="406" t="str">
        <f t="shared" si="115"/>
        <v/>
      </c>
      <c r="AE279" s="404" t="str">
        <f t="shared" si="116"/>
        <v/>
      </c>
      <c r="AF279" s="403" t="str">
        <f t="shared" si="137"/>
        <v/>
      </c>
      <c r="AG279" s="407" t="str">
        <f t="shared" si="118"/>
        <v/>
      </c>
      <c r="AH279" s="408" t="str">
        <f t="shared" si="119"/>
        <v/>
      </c>
      <c r="AI279" s="404" t="str">
        <f t="shared" si="120"/>
        <v/>
      </c>
      <c r="AJ279" s="403" t="str">
        <f t="shared" si="138"/>
        <v/>
      </c>
      <c r="AK279" s="405" t="str">
        <f t="shared" si="122"/>
        <v/>
      </c>
      <c r="AL279" s="406" t="str">
        <f t="shared" si="123"/>
        <v/>
      </c>
      <c r="AM279" s="419" t="str">
        <f t="shared" si="124"/>
        <v/>
      </c>
      <c r="AN279" s="38"/>
    </row>
    <row r="280" spans="1:40" ht="12.75" x14ac:dyDescent="0.2">
      <c r="A280" s="26"/>
      <c r="B280" s="38"/>
      <c r="C280" s="296" t="s">
        <v>637</v>
      </c>
      <c r="D280" s="296" t="str">
        <f t="shared" si="145"/>
        <v/>
      </c>
      <c r="E280" s="406" t="str">
        <f t="shared" si="144"/>
        <v/>
      </c>
      <c r="F280" s="415"/>
      <c r="G280" s="415"/>
      <c r="H280" s="415"/>
      <c r="I280" s="415"/>
      <c r="J280" s="415"/>
      <c r="K280" s="415"/>
      <c r="L280" s="415"/>
      <c r="M280" s="38"/>
      <c r="N280" s="403" t="str">
        <f t="shared" si="101"/>
        <v/>
      </c>
      <c r="O280" s="404" t="str">
        <f t="shared" si="102"/>
        <v/>
      </c>
      <c r="P280" s="403" t="str">
        <f t="shared" si="139"/>
        <v/>
      </c>
      <c r="Q280" s="405" t="str">
        <f t="shared" si="103"/>
        <v/>
      </c>
      <c r="R280" s="406" t="str">
        <f t="shared" si="140"/>
        <v/>
      </c>
      <c r="S280" s="404" t="str">
        <f t="shared" si="104"/>
        <v/>
      </c>
      <c r="T280" s="403" t="str">
        <f t="shared" si="134"/>
        <v/>
      </c>
      <c r="U280" s="407" t="str">
        <f t="shared" si="106"/>
        <v/>
      </c>
      <c r="V280" s="408" t="str">
        <f t="shared" si="107"/>
        <v/>
      </c>
      <c r="W280" s="404" t="str">
        <f t="shared" si="108"/>
        <v/>
      </c>
      <c r="X280" s="403" t="str">
        <f t="shared" si="135"/>
        <v/>
      </c>
      <c r="Y280" s="405" t="str">
        <f t="shared" si="110"/>
        <v/>
      </c>
      <c r="Z280" s="406" t="str">
        <f t="shared" si="111"/>
        <v/>
      </c>
      <c r="AA280" s="404" t="str">
        <f t="shared" si="112"/>
        <v/>
      </c>
      <c r="AB280" s="403" t="str">
        <f t="shared" si="136"/>
        <v/>
      </c>
      <c r="AC280" s="405" t="str">
        <f t="shared" si="114"/>
        <v/>
      </c>
      <c r="AD280" s="406" t="str">
        <f t="shared" si="115"/>
        <v/>
      </c>
      <c r="AE280" s="404" t="str">
        <f t="shared" si="116"/>
        <v/>
      </c>
      <c r="AF280" s="403" t="str">
        <f t="shared" si="137"/>
        <v/>
      </c>
      <c r="AG280" s="407" t="str">
        <f t="shared" si="118"/>
        <v/>
      </c>
      <c r="AH280" s="408" t="str">
        <f t="shared" si="119"/>
        <v/>
      </c>
      <c r="AI280" s="404" t="str">
        <f t="shared" si="120"/>
        <v/>
      </c>
      <c r="AJ280" s="403" t="str">
        <f t="shared" si="138"/>
        <v/>
      </c>
      <c r="AK280" s="405" t="str">
        <f t="shared" si="122"/>
        <v/>
      </c>
      <c r="AL280" s="406" t="str">
        <f t="shared" si="123"/>
        <v/>
      </c>
      <c r="AM280" s="419" t="str">
        <f t="shared" si="124"/>
        <v/>
      </c>
      <c r="AN280" s="38"/>
    </row>
    <row r="281" spans="1:40" s="165" customFormat="1" ht="12.75" x14ac:dyDescent="0.2">
      <c r="A281" s="539"/>
      <c r="B281" s="540"/>
      <c r="C281" s="579"/>
      <c r="D281" s="579" t="s">
        <v>613</v>
      </c>
      <c r="E281" s="406">
        <f>E155</f>
        <v>1916.4251066700924</v>
      </c>
      <c r="F281" s="406">
        <f>F638/'WK3 - Notional GI 15-16 YIELD'!$D$70</f>
        <v>1970.5144242002063</v>
      </c>
      <c r="G281" s="406">
        <f>G638/'WK3 - Notional GI 15-16 YIELD'!$D$70</f>
        <v>2029.6298569262124</v>
      </c>
      <c r="H281" s="406">
        <f>H638/'WK3 - Notional GI 15-16 YIELD'!$D$70</f>
        <v>2090.5187526339992</v>
      </c>
      <c r="I281" s="406">
        <f>I638/'WK3 - Notional GI 15-16 YIELD'!$D$70</f>
        <v>2153.2343152130193</v>
      </c>
      <c r="J281" s="406">
        <f>J638/'WK3 - Notional GI 15-16 YIELD'!$D$70</f>
        <v>2217.8313446694101</v>
      </c>
      <c r="K281" s="406">
        <f>K638/'WK3 - Notional GI 15-16 YIELD'!$D$70</f>
        <v>2284.3662850094925</v>
      </c>
      <c r="L281" s="406">
        <f>L638/'WK3 - Notional GI 15-16 YIELD'!$D$70</f>
        <v>2352.8972735597767</v>
      </c>
      <c r="M281" s="540"/>
      <c r="N281" s="403">
        <f t="shared" si="101"/>
        <v>54.089317530113931</v>
      </c>
      <c r="O281" s="404">
        <f t="shared" si="102"/>
        <v>2.8224070610355069E-2</v>
      </c>
      <c r="P281" s="403">
        <f t="shared" si="139"/>
        <v>59.11543272600602</v>
      </c>
      <c r="Q281" s="405">
        <f t="shared" si="103"/>
        <v>2.9999999999999912E-2</v>
      </c>
      <c r="R281" s="406">
        <f t="shared" si="140"/>
        <v>113.20475025611995</v>
      </c>
      <c r="S281" s="404">
        <f t="shared" si="104"/>
        <v>5.9070792728665632E-2</v>
      </c>
      <c r="T281" s="403">
        <f t="shared" si="134"/>
        <v>60.888895707786787</v>
      </c>
      <c r="U281" s="407">
        <f t="shared" si="106"/>
        <v>3.0000000000000204E-2</v>
      </c>
      <c r="V281" s="408">
        <f t="shared" si="107"/>
        <v>174.09364596390674</v>
      </c>
      <c r="W281" s="404">
        <f t="shared" si="108"/>
        <v>9.0842916510525812E-2</v>
      </c>
      <c r="X281" s="403">
        <f t="shared" si="135"/>
        <v>62.715562579020116</v>
      </c>
      <c r="Y281" s="405">
        <f t="shared" si="110"/>
        <v>3.0000000000000068E-2</v>
      </c>
      <c r="Z281" s="406">
        <f t="shared" si="111"/>
        <v>236.80920854292685</v>
      </c>
      <c r="AA281" s="404">
        <f t="shared" si="112"/>
        <v>0.12356820400584166</v>
      </c>
      <c r="AB281" s="403">
        <f t="shared" si="136"/>
        <v>64.597029456390828</v>
      </c>
      <c r="AC281" s="405">
        <f t="shared" si="114"/>
        <v>3.0000000000000117E-2</v>
      </c>
      <c r="AD281" s="406">
        <f t="shared" si="115"/>
        <v>301.40623799931768</v>
      </c>
      <c r="AE281" s="404">
        <f t="shared" si="116"/>
        <v>0.15727525012601704</v>
      </c>
      <c r="AF281" s="403">
        <f t="shared" si="137"/>
        <v>66.534940340082358</v>
      </c>
      <c r="AG281" s="407">
        <f t="shared" si="118"/>
        <v>3.0000000000000023E-2</v>
      </c>
      <c r="AH281" s="408">
        <f t="shared" si="119"/>
        <v>367.94117833940004</v>
      </c>
      <c r="AI281" s="404">
        <f t="shared" si="120"/>
        <v>0.19199350762979758</v>
      </c>
      <c r="AJ281" s="403">
        <f t="shared" si="138"/>
        <v>68.530988550284292</v>
      </c>
      <c r="AK281" s="405">
        <f t="shared" si="122"/>
        <v>2.9999999999999787E-2</v>
      </c>
      <c r="AL281" s="406">
        <f t="shared" si="123"/>
        <v>436.47216688968433</v>
      </c>
      <c r="AM281" s="419">
        <f t="shared" si="124"/>
        <v>0.22775331285869127</v>
      </c>
      <c r="AN281" s="540"/>
    </row>
    <row r="282" spans="1:40" ht="12.75" x14ac:dyDescent="0.2">
      <c r="A282" s="26"/>
      <c r="B282" s="38"/>
      <c r="C282" s="296" t="s">
        <v>305</v>
      </c>
      <c r="D282" s="296" t="str">
        <f>D156</f>
        <v/>
      </c>
      <c r="E282" s="406" t="str">
        <f>E156</f>
        <v/>
      </c>
      <c r="F282" s="415"/>
      <c r="G282" s="415"/>
      <c r="H282" s="415"/>
      <c r="I282" s="415"/>
      <c r="J282" s="415"/>
      <c r="K282" s="415"/>
      <c r="L282" s="415"/>
      <c r="M282" s="38"/>
      <c r="N282" s="403" t="str">
        <f t="shared" si="101"/>
        <v/>
      </c>
      <c r="O282" s="404" t="str">
        <f t="shared" si="102"/>
        <v/>
      </c>
      <c r="P282" s="403" t="str">
        <f t="shared" si="139"/>
        <v/>
      </c>
      <c r="Q282" s="405" t="str">
        <f t="shared" si="103"/>
        <v/>
      </c>
      <c r="R282" s="406" t="str">
        <f t="shared" si="140"/>
        <v/>
      </c>
      <c r="S282" s="404" t="str">
        <f t="shared" si="104"/>
        <v/>
      </c>
      <c r="T282" s="403" t="str">
        <f t="shared" si="134"/>
        <v/>
      </c>
      <c r="U282" s="407" t="str">
        <f t="shared" si="106"/>
        <v/>
      </c>
      <c r="V282" s="408" t="str">
        <f t="shared" si="107"/>
        <v/>
      </c>
      <c r="W282" s="404" t="str">
        <f t="shared" si="108"/>
        <v/>
      </c>
      <c r="X282" s="403" t="str">
        <f t="shared" si="135"/>
        <v/>
      </c>
      <c r="Y282" s="405" t="str">
        <f t="shared" si="110"/>
        <v/>
      </c>
      <c r="Z282" s="406" t="str">
        <f t="shared" si="111"/>
        <v/>
      </c>
      <c r="AA282" s="404" t="str">
        <f t="shared" si="112"/>
        <v/>
      </c>
      <c r="AB282" s="403" t="str">
        <f t="shared" si="136"/>
        <v/>
      </c>
      <c r="AC282" s="405" t="str">
        <f t="shared" si="114"/>
        <v/>
      </c>
      <c r="AD282" s="406" t="str">
        <f t="shared" si="115"/>
        <v/>
      </c>
      <c r="AE282" s="404" t="str">
        <f t="shared" si="116"/>
        <v/>
      </c>
      <c r="AF282" s="403" t="str">
        <f t="shared" si="137"/>
        <v/>
      </c>
      <c r="AG282" s="407" t="str">
        <f t="shared" si="118"/>
        <v/>
      </c>
      <c r="AH282" s="408" t="str">
        <f t="shared" si="119"/>
        <v/>
      </c>
      <c r="AI282" s="404" t="str">
        <f t="shared" si="120"/>
        <v/>
      </c>
      <c r="AJ282" s="403" t="str">
        <f t="shared" si="138"/>
        <v/>
      </c>
      <c r="AK282" s="405" t="str">
        <f t="shared" si="122"/>
        <v/>
      </c>
      <c r="AL282" s="406" t="str">
        <f t="shared" si="123"/>
        <v/>
      </c>
      <c r="AM282" s="419" t="str">
        <f t="shared" si="124"/>
        <v/>
      </c>
      <c r="AN282" s="38"/>
    </row>
    <row r="283" spans="1:40" ht="12.75" x14ac:dyDescent="0.2">
      <c r="A283" s="26"/>
      <c r="B283" s="38"/>
      <c r="C283" s="296" t="s">
        <v>305</v>
      </c>
      <c r="D283" s="296" t="str">
        <f t="shared" ref="D283:E301" si="146">D157</f>
        <v/>
      </c>
      <c r="E283" s="406" t="str">
        <f t="shared" si="146"/>
        <v/>
      </c>
      <c r="F283" s="415"/>
      <c r="G283" s="415"/>
      <c r="H283" s="415"/>
      <c r="I283" s="415"/>
      <c r="J283" s="415"/>
      <c r="K283" s="415"/>
      <c r="L283" s="415"/>
      <c r="M283" s="38"/>
      <c r="N283" s="403" t="str">
        <f t="shared" si="101"/>
        <v/>
      </c>
      <c r="O283" s="404" t="str">
        <f t="shared" si="102"/>
        <v/>
      </c>
      <c r="P283" s="403" t="str">
        <f t="shared" si="139"/>
        <v/>
      </c>
      <c r="Q283" s="405" t="str">
        <f t="shared" si="103"/>
        <v/>
      </c>
      <c r="R283" s="406" t="str">
        <f t="shared" si="140"/>
        <v/>
      </c>
      <c r="S283" s="404" t="str">
        <f t="shared" si="104"/>
        <v/>
      </c>
      <c r="T283" s="403" t="str">
        <f t="shared" si="134"/>
        <v/>
      </c>
      <c r="U283" s="407" t="str">
        <f t="shared" si="106"/>
        <v/>
      </c>
      <c r="V283" s="408" t="str">
        <f t="shared" si="107"/>
        <v/>
      </c>
      <c r="W283" s="404" t="str">
        <f t="shared" si="108"/>
        <v/>
      </c>
      <c r="X283" s="403" t="str">
        <f t="shared" si="135"/>
        <v/>
      </c>
      <c r="Y283" s="405" t="str">
        <f t="shared" si="110"/>
        <v/>
      </c>
      <c r="Z283" s="406" t="str">
        <f t="shared" si="111"/>
        <v/>
      </c>
      <c r="AA283" s="404" t="str">
        <f t="shared" si="112"/>
        <v/>
      </c>
      <c r="AB283" s="403" t="str">
        <f t="shared" si="136"/>
        <v/>
      </c>
      <c r="AC283" s="405" t="str">
        <f t="shared" si="114"/>
        <v/>
      </c>
      <c r="AD283" s="406" t="str">
        <f t="shared" si="115"/>
        <v/>
      </c>
      <c r="AE283" s="404" t="str">
        <f t="shared" si="116"/>
        <v/>
      </c>
      <c r="AF283" s="403" t="str">
        <f t="shared" si="137"/>
        <v/>
      </c>
      <c r="AG283" s="407" t="str">
        <f t="shared" si="118"/>
        <v/>
      </c>
      <c r="AH283" s="408" t="str">
        <f t="shared" si="119"/>
        <v/>
      </c>
      <c r="AI283" s="404" t="str">
        <f t="shared" si="120"/>
        <v/>
      </c>
      <c r="AJ283" s="403" t="str">
        <f t="shared" si="138"/>
        <v/>
      </c>
      <c r="AK283" s="405" t="str">
        <f t="shared" si="122"/>
        <v/>
      </c>
      <c r="AL283" s="406" t="str">
        <f t="shared" si="123"/>
        <v/>
      </c>
      <c r="AM283" s="419" t="str">
        <f t="shared" si="124"/>
        <v/>
      </c>
      <c r="AN283" s="38"/>
    </row>
    <row r="284" spans="1:40" ht="12.75" x14ac:dyDescent="0.2">
      <c r="A284" s="26"/>
      <c r="B284" s="38"/>
      <c r="C284" s="296" t="s">
        <v>305</v>
      </c>
      <c r="D284" s="296" t="str">
        <f t="shared" si="146"/>
        <v/>
      </c>
      <c r="E284" s="406" t="str">
        <f t="shared" si="146"/>
        <v/>
      </c>
      <c r="F284" s="415"/>
      <c r="G284" s="415"/>
      <c r="H284" s="415"/>
      <c r="I284" s="415"/>
      <c r="J284" s="415"/>
      <c r="K284" s="415"/>
      <c r="L284" s="415"/>
      <c r="M284" s="38"/>
      <c r="N284" s="403" t="str">
        <f t="shared" si="101"/>
        <v/>
      </c>
      <c r="O284" s="404" t="str">
        <f t="shared" si="102"/>
        <v/>
      </c>
      <c r="P284" s="403" t="str">
        <f t="shared" si="139"/>
        <v/>
      </c>
      <c r="Q284" s="405" t="str">
        <f t="shared" si="103"/>
        <v/>
      </c>
      <c r="R284" s="406" t="str">
        <f t="shared" si="140"/>
        <v/>
      </c>
      <c r="S284" s="404" t="str">
        <f t="shared" si="104"/>
        <v/>
      </c>
      <c r="T284" s="403" t="str">
        <f t="shared" si="134"/>
        <v/>
      </c>
      <c r="U284" s="407" t="str">
        <f t="shared" si="106"/>
        <v/>
      </c>
      <c r="V284" s="408" t="str">
        <f t="shared" si="107"/>
        <v/>
      </c>
      <c r="W284" s="404" t="str">
        <f t="shared" si="108"/>
        <v/>
      </c>
      <c r="X284" s="403" t="str">
        <f t="shared" si="135"/>
        <v/>
      </c>
      <c r="Y284" s="405" t="str">
        <f t="shared" si="110"/>
        <v/>
      </c>
      <c r="Z284" s="406" t="str">
        <f t="shared" si="111"/>
        <v/>
      </c>
      <c r="AA284" s="404" t="str">
        <f t="shared" si="112"/>
        <v/>
      </c>
      <c r="AB284" s="403" t="str">
        <f t="shared" si="136"/>
        <v/>
      </c>
      <c r="AC284" s="405" t="str">
        <f t="shared" si="114"/>
        <v/>
      </c>
      <c r="AD284" s="406" t="str">
        <f t="shared" si="115"/>
        <v/>
      </c>
      <c r="AE284" s="404" t="str">
        <f t="shared" si="116"/>
        <v/>
      </c>
      <c r="AF284" s="403" t="str">
        <f t="shared" si="137"/>
        <v/>
      </c>
      <c r="AG284" s="407" t="str">
        <f t="shared" si="118"/>
        <v/>
      </c>
      <c r="AH284" s="408" t="str">
        <f t="shared" si="119"/>
        <v/>
      </c>
      <c r="AI284" s="404" t="str">
        <f t="shared" si="120"/>
        <v/>
      </c>
      <c r="AJ284" s="403" t="str">
        <f t="shared" si="138"/>
        <v/>
      </c>
      <c r="AK284" s="405" t="str">
        <f t="shared" si="122"/>
        <v/>
      </c>
      <c r="AL284" s="406" t="str">
        <f t="shared" si="123"/>
        <v/>
      </c>
      <c r="AM284" s="419" t="str">
        <f t="shared" si="124"/>
        <v/>
      </c>
      <c r="AN284" s="38"/>
    </row>
    <row r="285" spans="1:40" ht="12.75" x14ac:dyDescent="0.2">
      <c r="A285" s="26"/>
      <c r="B285" s="38"/>
      <c r="C285" s="296" t="s">
        <v>305</v>
      </c>
      <c r="D285" s="296" t="str">
        <f t="shared" si="146"/>
        <v/>
      </c>
      <c r="E285" s="406" t="str">
        <f t="shared" si="146"/>
        <v/>
      </c>
      <c r="F285" s="415"/>
      <c r="G285" s="415"/>
      <c r="H285" s="415"/>
      <c r="I285" s="415"/>
      <c r="J285" s="415"/>
      <c r="K285" s="415"/>
      <c r="L285" s="415"/>
      <c r="M285" s="38"/>
      <c r="N285" s="403" t="str">
        <f t="shared" si="101"/>
        <v/>
      </c>
      <c r="O285" s="404" t="str">
        <f t="shared" si="102"/>
        <v/>
      </c>
      <c r="P285" s="403" t="str">
        <f t="shared" si="139"/>
        <v/>
      </c>
      <c r="Q285" s="405" t="str">
        <f t="shared" si="103"/>
        <v/>
      </c>
      <c r="R285" s="406" t="str">
        <f t="shared" si="140"/>
        <v/>
      </c>
      <c r="S285" s="404" t="str">
        <f t="shared" si="104"/>
        <v/>
      </c>
      <c r="T285" s="403" t="str">
        <f t="shared" si="134"/>
        <v/>
      </c>
      <c r="U285" s="407" t="str">
        <f t="shared" si="106"/>
        <v/>
      </c>
      <c r="V285" s="408" t="str">
        <f t="shared" si="107"/>
        <v/>
      </c>
      <c r="W285" s="404" t="str">
        <f t="shared" si="108"/>
        <v/>
      </c>
      <c r="X285" s="403" t="str">
        <f t="shared" si="135"/>
        <v/>
      </c>
      <c r="Y285" s="405" t="str">
        <f t="shared" si="110"/>
        <v/>
      </c>
      <c r="Z285" s="406" t="str">
        <f t="shared" si="111"/>
        <v/>
      </c>
      <c r="AA285" s="404" t="str">
        <f t="shared" si="112"/>
        <v/>
      </c>
      <c r="AB285" s="403" t="str">
        <f t="shared" si="136"/>
        <v/>
      </c>
      <c r="AC285" s="405" t="str">
        <f t="shared" si="114"/>
        <v/>
      </c>
      <c r="AD285" s="406" t="str">
        <f t="shared" si="115"/>
        <v/>
      </c>
      <c r="AE285" s="404" t="str">
        <f t="shared" si="116"/>
        <v/>
      </c>
      <c r="AF285" s="403" t="str">
        <f t="shared" si="137"/>
        <v/>
      </c>
      <c r="AG285" s="407" t="str">
        <f t="shared" si="118"/>
        <v/>
      </c>
      <c r="AH285" s="408" t="str">
        <f t="shared" si="119"/>
        <v/>
      </c>
      <c r="AI285" s="404" t="str">
        <f t="shared" si="120"/>
        <v/>
      </c>
      <c r="AJ285" s="403" t="str">
        <f t="shared" si="138"/>
        <v/>
      </c>
      <c r="AK285" s="405" t="str">
        <f t="shared" si="122"/>
        <v/>
      </c>
      <c r="AL285" s="406" t="str">
        <f t="shared" si="123"/>
        <v/>
      </c>
      <c r="AM285" s="419" t="str">
        <f t="shared" si="124"/>
        <v/>
      </c>
      <c r="AN285" s="38"/>
    </row>
    <row r="286" spans="1:40" ht="12.75" x14ac:dyDescent="0.2">
      <c r="A286" s="26"/>
      <c r="B286" s="38"/>
      <c r="C286" s="296" t="s">
        <v>305</v>
      </c>
      <c r="D286" s="296" t="str">
        <f t="shared" si="146"/>
        <v/>
      </c>
      <c r="E286" s="406" t="str">
        <f t="shared" si="146"/>
        <v/>
      </c>
      <c r="F286" s="415"/>
      <c r="G286" s="415"/>
      <c r="H286" s="415"/>
      <c r="I286" s="415"/>
      <c r="J286" s="415"/>
      <c r="K286" s="415"/>
      <c r="L286" s="415"/>
      <c r="M286" s="38"/>
      <c r="N286" s="403" t="str">
        <f t="shared" si="101"/>
        <v/>
      </c>
      <c r="O286" s="404" t="str">
        <f t="shared" si="102"/>
        <v/>
      </c>
      <c r="P286" s="403" t="str">
        <f t="shared" si="139"/>
        <v/>
      </c>
      <c r="Q286" s="405" t="str">
        <f t="shared" si="103"/>
        <v/>
      </c>
      <c r="R286" s="406" t="str">
        <f t="shared" si="140"/>
        <v/>
      </c>
      <c r="S286" s="404" t="str">
        <f t="shared" si="104"/>
        <v/>
      </c>
      <c r="T286" s="403" t="str">
        <f t="shared" si="134"/>
        <v/>
      </c>
      <c r="U286" s="407" t="str">
        <f t="shared" si="106"/>
        <v/>
      </c>
      <c r="V286" s="408" t="str">
        <f t="shared" si="107"/>
        <v/>
      </c>
      <c r="W286" s="404" t="str">
        <f t="shared" si="108"/>
        <v/>
      </c>
      <c r="X286" s="403" t="str">
        <f t="shared" si="135"/>
        <v/>
      </c>
      <c r="Y286" s="405" t="str">
        <f t="shared" si="110"/>
        <v/>
      </c>
      <c r="Z286" s="406" t="str">
        <f t="shared" si="111"/>
        <v/>
      </c>
      <c r="AA286" s="404" t="str">
        <f t="shared" si="112"/>
        <v/>
      </c>
      <c r="AB286" s="403" t="str">
        <f t="shared" si="136"/>
        <v/>
      </c>
      <c r="AC286" s="405" t="str">
        <f t="shared" si="114"/>
        <v/>
      </c>
      <c r="AD286" s="406" t="str">
        <f t="shared" si="115"/>
        <v/>
      </c>
      <c r="AE286" s="404" t="str">
        <f t="shared" si="116"/>
        <v/>
      </c>
      <c r="AF286" s="403" t="str">
        <f t="shared" si="137"/>
        <v/>
      </c>
      <c r="AG286" s="407" t="str">
        <f t="shared" si="118"/>
        <v/>
      </c>
      <c r="AH286" s="408" t="str">
        <f t="shared" si="119"/>
        <v/>
      </c>
      <c r="AI286" s="404" t="str">
        <f t="shared" si="120"/>
        <v/>
      </c>
      <c r="AJ286" s="403" t="str">
        <f t="shared" si="138"/>
        <v/>
      </c>
      <c r="AK286" s="405" t="str">
        <f t="shared" si="122"/>
        <v/>
      </c>
      <c r="AL286" s="406" t="str">
        <f t="shared" si="123"/>
        <v/>
      </c>
      <c r="AM286" s="419" t="str">
        <f t="shared" si="124"/>
        <v/>
      </c>
      <c r="AN286" s="38"/>
    </row>
    <row r="287" spans="1:40" ht="12.75" x14ac:dyDescent="0.2">
      <c r="A287" s="26"/>
      <c r="B287" s="38"/>
      <c r="C287" s="296" t="s">
        <v>305</v>
      </c>
      <c r="D287" s="296" t="str">
        <f t="shared" si="146"/>
        <v/>
      </c>
      <c r="E287" s="406" t="str">
        <f t="shared" si="146"/>
        <v/>
      </c>
      <c r="F287" s="415"/>
      <c r="G287" s="415"/>
      <c r="H287" s="415"/>
      <c r="I287" s="415"/>
      <c r="J287" s="415"/>
      <c r="K287" s="415"/>
      <c r="L287" s="415"/>
      <c r="M287" s="38"/>
      <c r="N287" s="403" t="str">
        <f t="shared" si="101"/>
        <v/>
      </c>
      <c r="O287" s="404" t="str">
        <f t="shared" si="102"/>
        <v/>
      </c>
      <c r="P287" s="403" t="str">
        <f t="shared" si="139"/>
        <v/>
      </c>
      <c r="Q287" s="405" t="str">
        <f t="shared" si="103"/>
        <v/>
      </c>
      <c r="R287" s="406" t="str">
        <f t="shared" si="140"/>
        <v/>
      </c>
      <c r="S287" s="404" t="str">
        <f t="shared" si="104"/>
        <v/>
      </c>
      <c r="T287" s="403" t="str">
        <f t="shared" si="134"/>
        <v/>
      </c>
      <c r="U287" s="407" t="str">
        <f t="shared" si="106"/>
        <v/>
      </c>
      <c r="V287" s="408" t="str">
        <f t="shared" si="107"/>
        <v/>
      </c>
      <c r="W287" s="404" t="str">
        <f t="shared" si="108"/>
        <v/>
      </c>
      <c r="X287" s="403" t="str">
        <f t="shared" si="135"/>
        <v/>
      </c>
      <c r="Y287" s="405" t="str">
        <f t="shared" si="110"/>
        <v/>
      </c>
      <c r="Z287" s="406" t="str">
        <f t="shared" si="111"/>
        <v/>
      </c>
      <c r="AA287" s="404" t="str">
        <f t="shared" si="112"/>
        <v/>
      </c>
      <c r="AB287" s="403" t="str">
        <f t="shared" si="136"/>
        <v/>
      </c>
      <c r="AC287" s="405" t="str">
        <f t="shared" si="114"/>
        <v/>
      </c>
      <c r="AD287" s="406" t="str">
        <f t="shared" si="115"/>
        <v/>
      </c>
      <c r="AE287" s="404" t="str">
        <f t="shared" si="116"/>
        <v/>
      </c>
      <c r="AF287" s="403" t="str">
        <f t="shared" si="137"/>
        <v/>
      </c>
      <c r="AG287" s="407" t="str">
        <f t="shared" si="118"/>
        <v/>
      </c>
      <c r="AH287" s="408" t="str">
        <f t="shared" si="119"/>
        <v/>
      </c>
      <c r="AI287" s="404" t="str">
        <f t="shared" si="120"/>
        <v/>
      </c>
      <c r="AJ287" s="403" t="str">
        <f t="shared" si="138"/>
        <v/>
      </c>
      <c r="AK287" s="405" t="str">
        <f t="shared" si="122"/>
        <v/>
      </c>
      <c r="AL287" s="406" t="str">
        <f t="shared" si="123"/>
        <v/>
      </c>
      <c r="AM287" s="419" t="str">
        <f t="shared" si="124"/>
        <v/>
      </c>
      <c r="AN287" s="38"/>
    </row>
    <row r="288" spans="1:40" ht="12.75" x14ac:dyDescent="0.2">
      <c r="A288" s="26"/>
      <c r="B288" s="38"/>
      <c r="C288" s="296" t="s">
        <v>305</v>
      </c>
      <c r="D288" s="296" t="str">
        <f t="shared" si="146"/>
        <v/>
      </c>
      <c r="E288" s="406" t="str">
        <f t="shared" si="146"/>
        <v/>
      </c>
      <c r="F288" s="415"/>
      <c r="G288" s="415"/>
      <c r="H288" s="415"/>
      <c r="I288" s="415"/>
      <c r="J288" s="415"/>
      <c r="K288" s="415"/>
      <c r="L288" s="415"/>
      <c r="M288" s="38"/>
      <c r="N288" s="403" t="str">
        <f t="shared" si="101"/>
        <v/>
      </c>
      <c r="O288" s="404" t="str">
        <f t="shared" si="102"/>
        <v/>
      </c>
      <c r="P288" s="403" t="str">
        <f t="shared" si="139"/>
        <v/>
      </c>
      <c r="Q288" s="405" t="str">
        <f t="shared" si="103"/>
        <v/>
      </c>
      <c r="R288" s="406" t="str">
        <f t="shared" si="140"/>
        <v/>
      </c>
      <c r="S288" s="404" t="str">
        <f t="shared" si="104"/>
        <v/>
      </c>
      <c r="T288" s="403" t="str">
        <f t="shared" si="134"/>
        <v/>
      </c>
      <c r="U288" s="407" t="str">
        <f t="shared" si="106"/>
        <v/>
      </c>
      <c r="V288" s="408" t="str">
        <f t="shared" si="107"/>
        <v/>
      </c>
      <c r="W288" s="404" t="str">
        <f t="shared" si="108"/>
        <v/>
      </c>
      <c r="X288" s="403" t="str">
        <f t="shared" si="135"/>
        <v/>
      </c>
      <c r="Y288" s="405" t="str">
        <f t="shared" si="110"/>
        <v/>
      </c>
      <c r="Z288" s="406" t="str">
        <f t="shared" si="111"/>
        <v/>
      </c>
      <c r="AA288" s="404" t="str">
        <f t="shared" si="112"/>
        <v/>
      </c>
      <c r="AB288" s="403" t="str">
        <f t="shared" si="136"/>
        <v/>
      </c>
      <c r="AC288" s="405" t="str">
        <f t="shared" si="114"/>
        <v/>
      </c>
      <c r="AD288" s="406" t="str">
        <f t="shared" si="115"/>
        <v/>
      </c>
      <c r="AE288" s="404" t="str">
        <f t="shared" si="116"/>
        <v/>
      </c>
      <c r="AF288" s="403" t="str">
        <f t="shared" si="137"/>
        <v/>
      </c>
      <c r="AG288" s="407" t="str">
        <f t="shared" si="118"/>
        <v/>
      </c>
      <c r="AH288" s="408" t="str">
        <f t="shared" si="119"/>
        <v/>
      </c>
      <c r="AI288" s="404" t="str">
        <f t="shared" si="120"/>
        <v/>
      </c>
      <c r="AJ288" s="403" t="str">
        <f t="shared" si="138"/>
        <v/>
      </c>
      <c r="AK288" s="405" t="str">
        <f t="shared" si="122"/>
        <v/>
      </c>
      <c r="AL288" s="406" t="str">
        <f t="shared" si="123"/>
        <v/>
      </c>
      <c r="AM288" s="419" t="str">
        <f t="shared" si="124"/>
        <v/>
      </c>
      <c r="AN288" s="38"/>
    </row>
    <row r="289" spans="1:40" ht="12.75" x14ac:dyDescent="0.2">
      <c r="A289" s="26"/>
      <c r="B289" s="38"/>
      <c r="C289" s="296" t="s">
        <v>305</v>
      </c>
      <c r="D289" s="296" t="str">
        <f t="shared" si="146"/>
        <v/>
      </c>
      <c r="E289" s="406" t="str">
        <f t="shared" si="146"/>
        <v/>
      </c>
      <c r="F289" s="415"/>
      <c r="G289" s="415"/>
      <c r="H289" s="415"/>
      <c r="I289" s="415"/>
      <c r="J289" s="415"/>
      <c r="K289" s="415"/>
      <c r="L289" s="415"/>
      <c r="M289" s="38"/>
      <c r="N289" s="403" t="str">
        <f t="shared" si="101"/>
        <v/>
      </c>
      <c r="O289" s="404" t="str">
        <f t="shared" si="102"/>
        <v/>
      </c>
      <c r="P289" s="403" t="str">
        <f t="shared" si="139"/>
        <v/>
      </c>
      <c r="Q289" s="405" t="str">
        <f t="shared" si="103"/>
        <v/>
      </c>
      <c r="R289" s="406" t="str">
        <f t="shared" si="140"/>
        <v/>
      </c>
      <c r="S289" s="404" t="str">
        <f t="shared" si="104"/>
        <v/>
      </c>
      <c r="T289" s="403" t="str">
        <f t="shared" si="134"/>
        <v/>
      </c>
      <c r="U289" s="407" t="str">
        <f t="shared" si="106"/>
        <v/>
      </c>
      <c r="V289" s="408" t="str">
        <f t="shared" si="107"/>
        <v/>
      </c>
      <c r="W289" s="404" t="str">
        <f t="shared" si="108"/>
        <v/>
      </c>
      <c r="X289" s="403" t="str">
        <f t="shared" si="135"/>
        <v/>
      </c>
      <c r="Y289" s="405" t="str">
        <f t="shared" si="110"/>
        <v/>
      </c>
      <c r="Z289" s="406" t="str">
        <f t="shared" si="111"/>
        <v/>
      </c>
      <c r="AA289" s="404" t="str">
        <f t="shared" si="112"/>
        <v/>
      </c>
      <c r="AB289" s="403" t="str">
        <f t="shared" si="136"/>
        <v/>
      </c>
      <c r="AC289" s="405" t="str">
        <f t="shared" si="114"/>
        <v/>
      </c>
      <c r="AD289" s="406" t="str">
        <f t="shared" si="115"/>
        <v/>
      </c>
      <c r="AE289" s="404" t="str">
        <f t="shared" si="116"/>
        <v/>
      </c>
      <c r="AF289" s="403" t="str">
        <f t="shared" si="137"/>
        <v/>
      </c>
      <c r="AG289" s="407" t="str">
        <f t="shared" si="118"/>
        <v/>
      </c>
      <c r="AH289" s="408" t="str">
        <f t="shared" si="119"/>
        <v/>
      </c>
      <c r="AI289" s="404" t="str">
        <f t="shared" si="120"/>
        <v/>
      </c>
      <c r="AJ289" s="403" t="str">
        <f t="shared" si="138"/>
        <v/>
      </c>
      <c r="AK289" s="405" t="str">
        <f t="shared" si="122"/>
        <v/>
      </c>
      <c r="AL289" s="406" t="str">
        <f t="shared" si="123"/>
        <v/>
      </c>
      <c r="AM289" s="419" t="str">
        <f t="shared" si="124"/>
        <v/>
      </c>
      <c r="AN289" s="38"/>
    </row>
    <row r="290" spans="1:40" ht="12.75" x14ac:dyDescent="0.2">
      <c r="A290" s="26"/>
      <c r="B290" s="38"/>
      <c r="C290" s="296" t="s">
        <v>305</v>
      </c>
      <c r="D290" s="296" t="str">
        <f t="shared" si="146"/>
        <v/>
      </c>
      <c r="E290" s="406" t="str">
        <f t="shared" si="146"/>
        <v/>
      </c>
      <c r="F290" s="415"/>
      <c r="G290" s="415"/>
      <c r="H290" s="415"/>
      <c r="I290" s="415"/>
      <c r="J290" s="415"/>
      <c r="K290" s="415"/>
      <c r="L290" s="415"/>
      <c r="M290" s="38"/>
      <c r="N290" s="403" t="str">
        <f t="shared" si="101"/>
        <v/>
      </c>
      <c r="O290" s="404" t="str">
        <f t="shared" si="102"/>
        <v/>
      </c>
      <c r="P290" s="403" t="str">
        <f t="shared" si="139"/>
        <v/>
      </c>
      <c r="Q290" s="405" t="str">
        <f t="shared" si="103"/>
        <v/>
      </c>
      <c r="R290" s="406" t="str">
        <f t="shared" si="140"/>
        <v/>
      </c>
      <c r="S290" s="404" t="str">
        <f t="shared" si="104"/>
        <v/>
      </c>
      <c r="T290" s="403" t="str">
        <f t="shared" si="134"/>
        <v/>
      </c>
      <c r="U290" s="407" t="str">
        <f t="shared" si="106"/>
        <v/>
      </c>
      <c r="V290" s="408" t="str">
        <f t="shared" si="107"/>
        <v/>
      </c>
      <c r="W290" s="404" t="str">
        <f t="shared" si="108"/>
        <v/>
      </c>
      <c r="X290" s="403" t="str">
        <f t="shared" si="135"/>
        <v/>
      </c>
      <c r="Y290" s="405" t="str">
        <f t="shared" si="110"/>
        <v/>
      </c>
      <c r="Z290" s="406" t="str">
        <f t="shared" si="111"/>
        <v/>
      </c>
      <c r="AA290" s="404" t="str">
        <f t="shared" si="112"/>
        <v/>
      </c>
      <c r="AB290" s="403" t="str">
        <f t="shared" si="136"/>
        <v/>
      </c>
      <c r="AC290" s="405" t="str">
        <f t="shared" si="114"/>
        <v/>
      </c>
      <c r="AD290" s="406" t="str">
        <f t="shared" si="115"/>
        <v/>
      </c>
      <c r="AE290" s="404" t="str">
        <f t="shared" si="116"/>
        <v/>
      </c>
      <c r="AF290" s="403" t="str">
        <f t="shared" si="137"/>
        <v/>
      </c>
      <c r="AG290" s="407" t="str">
        <f t="shared" si="118"/>
        <v/>
      </c>
      <c r="AH290" s="408" t="str">
        <f t="shared" si="119"/>
        <v/>
      </c>
      <c r="AI290" s="404" t="str">
        <f t="shared" si="120"/>
        <v/>
      </c>
      <c r="AJ290" s="403" t="str">
        <f t="shared" si="138"/>
        <v/>
      </c>
      <c r="AK290" s="405" t="str">
        <f t="shared" si="122"/>
        <v/>
      </c>
      <c r="AL290" s="406" t="str">
        <f t="shared" si="123"/>
        <v/>
      </c>
      <c r="AM290" s="419" t="str">
        <f t="shared" si="124"/>
        <v/>
      </c>
      <c r="AN290" s="38"/>
    </row>
    <row r="291" spans="1:40" ht="12.75" x14ac:dyDescent="0.2">
      <c r="A291" s="26"/>
      <c r="B291" s="38"/>
      <c r="C291" s="296" t="s">
        <v>305</v>
      </c>
      <c r="D291" s="296" t="str">
        <f t="shared" si="146"/>
        <v/>
      </c>
      <c r="E291" s="406" t="str">
        <f t="shared" si="146"/>
        <v/>
      </c>
      <c r="F291" s="415"/>
      <c r="G291" s="415"/>
      <c r="H291" s="415"/>
      <c r="I291" s="415"/>
      <c r="J291" s="415"/>
      <c r="K291" s="415"/>
      <c r="L291" s="415"/>
      <c r="M291" s="38"/>
      <c r="N291" s="403" t="str">
        <f t="shared" si="101"/>
        <v/>
      </c>
      <c r="O291" s="404" t="str">
        <f t="shared" si="102"/>
        <v/>
      </c>
      <c r="P291" s="403" t="str">
        <f t="shared" si="139"/>
        <v/>
      </c>
      <c r="Q291" s="405" t="str">
        <f t="shared" si="103"/>
        <v/>
      </c>
      <c r="R291" s="406" t="str">
        <f t="shared" si="140"/>
        <v/>
      </c>
      <c r="S291" s="404" t="str">
        <f t="shared" si="104"/>
        <v/>
      </c>
      <c r="T291" s="403" t="str">
        <f t="shared" si="134"/>
        <v/>
      </c>
      <c r="U291" s="407" t="str">
        <f t="shared" si="106"/>
        <v/>
      </c>
      <c r="V291" s="408" t="str">
        <f t="shared" si="107"/>
        <v/>
      </c>
      <c r="W291" s="404" t="str">
        <f t="shared" si="108"/>
        <v/>
      </c>
      <c r="X291" s="403" t="str">
        <f t="shared" si="135"/>
        <v/>
      </c>
      <c r="Y291" s="405" t="str">
        <f t="shared" si="110"/>
        <v/>
      </c>
      <c r="Z291" s="406" t="str">
        <f t="shared" si="111"/>
        <v/>
      </c>
      <c r="AA291" s="404" t="str">
        <f t="shared" si="112"/>
        <v/>
      </c>
      <c r="AB291" s="403" t="str">
        <f t="shared" si="136"/>
        <v/>
      </c>
      <c r="AC291" s="405" t="str">
        <f t="shared" si="114"/>
        <v/>
      </c>
      <c r="AD291" s="406" t="str">
        <f t="shared" si="115"/>
        <v/>
      </c>
      <c r="AE291" s="404" t="str">
        <f t="shared" si="116"/>
        <v/>
      </c>
      <c r="AF291" s="403" t="str">
        <f t="shared" si="137"/>
        <v/>
      </c>
      <c r="AG291" s="407" t="str">
        <f t="shared" si="118"/>
        <v/>
      </c>
      <c r="AH291" s="408" t="str">
        <f t="shared" si="119"/>
        <v/>
      </c>
      <c r="AI291" s="404" t="str">
        <f t="shared" si="120"/>
        <v/>
      </c>
      <c r="AJ291" s="403" t="str">
        <f t="shared" si="138"/>
        <v/>
      </c>
      <c r="AK291" s="405" t="str">
        <f t="shared" si="122"/>
        <v/>
      </c>
      <c r="AL291" s="406" t="str">
        <f t="shared" si="123"/>
        <v/>
      </c>
      <c r="AM291" s="419" t="str">
        <f t="shared" si="124"/>
        <v/>
      </c>
      <c r="AN291" s="38"/>
    </row>
    <row r="292" spans="1:40" ht="12.75" x14ac:dyDescent="0.2">
      <c r="A292" s="26"/>
      <c r="B292" s="38"/>
      <c r="C292" s="296" t="s">
        <v>637</v>
      </c>
      <c r="D292" s="296" t="str">
        <f t="shared" si="146"/>
        <v/>
      </c>
      <c r="E292" s="406" t="str">
        <f t="shared" si="146"/>
        <v/>
      </c>
      <c r="F292" s="415"/>
      <c r="G292" s="415"/>
      <c r="H292" s="415"/>
      <c r="I292" s="415"/>
      <c r="J292" s="415"/>
      <c r="K292" s="415"/>
      <c r="L292" s="415"/>
      <c r="M292" s="38"/>
      <c r="N292" s="403" t="str">
        <f t="shared" si="101"/>
        <v/>
      </c>
      <c r="O292" s="404" t="str">
        <f t="shared" si="102"/>
        <v/>
      </c>
      <c r="P292" s="403" t="str">
        <f t="shared" si="139"/>
        <v/>
      </c>
      <c r="Q292" s="405" t="str">
        <f t="shared" si="103"/>
        <v/>
      </c>
      <c r="R292" s="406" t="str">
        <f t="shared" si="140"/>
        <v/>
      </c>
      <c r="S292" s="404" t="str">
        <f t="shared" si="104"/>
        <v/>
      </c>
      <c r="T292" s="403" t="str">
        <f t="shared" si="134"/>
        <v/>
      </c>
      <c r="U292" s="407" t="str">
        <f t="shared" si="106"/>
        <v/>
      </c>
      <c r="V292" s="408" t="str">
        <f t="shared" si="107"/>
        <v/>
      </c>
      <c r="W292" s="404" t="str">
        <f t="shared" si="108"/>
        <v/>
      </c>
      <c r="X292" s="403" t="str">
        <f t="shared" si="135"/>
        <v/>
      </c>
      <c r="Y292" s="405" t="str">
        <f t="shared" si="110"/>
        <v/>
      </c>
      <c r="Z292" s="406" t="str">
        <f t="shared" si="111"/>
        <v/>
      </c>
      <c r="AA292" s="404" t="str">
        <f t="shared" si="112"/>
        <v/>
      </c>
      <c r="AB292" s="403" t="str">
        <f t="shared" si="136"/>
        <v/>
      </c>
      <c r="AC292" s="405" t="str">
        <f t="shared" si="114"/>
        <v/>
      </c>
      <c r="AD292" s="406" t="str">
        <f t="shared" si="115"/>
        <v/>
      </c>
      <c r="AE292" s="404" t="str">
        <f t="shared" si="116"/>
        <v/>
      </c>
      <c r="AF292" s="403" t="str">
        <f t="shared" si="137"/>
        <v/>
      </c>
      <c r="AG292" s="407" t="str">
        <f t="shared" si="118"/>
        <v/>
      </c>
      <c r="AH292" s="408" t="str">
        <f t="shared" si="119"/>
        <v/>
      </c>
      <c r="AI292" s="404" t="str">
        <f t="shared" si="120"/>
        <v/>
      </c>
      <c r="AJ292" s="403" t="str">
        <f t="shared" si="138"/>
        <v/>
      </c>
      <c r="AK292" s="405" t="str">
        <f t="shared" si="122"/>
        <v/>
      </c>
      <c r="AL292" s="406" t="str">
        <f t="shared" si="123"/>
        <v/>
      </c>
      <c r="AM292" s="419" t="str">
        <f t="shared" si="124"/>
        <v/>
      </c>
      <c r="AN292" s="38"/>
    </row>
    <row r="293" spans="1:40" ht="12.75" x14ac:dyDescent="0.2">
      <c r="A293" s="26"/>
      <c r="B293" s="38"/>
      <c r="C293" s="296" t="s">
        <v>637</v>
      </c>
      <c r="D293" s="296" t="str">
        <f t="shared" si="146"/>
        <v/>
      </c>
      <c r="E293" s="406" t="str">
        <f t="shared" si="146"/>
        <v/>
      </c>
      <c r="F293" s="415"/>
      <c r="G293" s="415"/>
      <c r="H293" s="415"/>
      <c r="I293" s="415"/>
      <c r="J293" s="415"/>
      <c r="K293" s="415"/>
      <c r="L293" s="415"/>
      <c r="M293" s="38"/>
      <c r="N293" s="403" t="str">
        <f t="shared" si="101"/>
        <v/>
      </c>
      <c r="O293" s="404" t="str">
        <f t="shared" si="102"/>
        <v/>
      </c>
      <c r="P293" s="403" t="str">
        <f t="shared" si="139"/>
        <v/>
      </c>
      <c r="Q293" s="405" t="str">
        <f t="shared" si="103"/>
        <v/>
      </c>
      <c r="R293" s="406" t="str">
        <f t="shared" si="140"/>
        <v/>
      </c>
      <c r="S293" s="404" t="str">
        <f t="shared" si="104"/>
        <v/>
      </c>
      <c r="T293" s="403" t="str">
        <f t="shared" si="134"/>
        <v/>
      </c>
      <c r="U293" s="407" t="str">
        <f t="shared" si="106"/>
        <v/>
      </c>
      <c r="V293" s="408" t="str">
        <f t="shared" si="107"/>
        <v/>
      </c>
      <c r="W293" s="404" t="str">
        <f t="shared" si="108"/>
        <v/>
      </c>
      <c r="X293" s="403" t="str">
        <f t="shared" si="135"/>
        <v/>
      </c>
      <c r="Y293" s="405" t="str">
        <f t="shared" si="110"/>
        <v/>
      </c>
      <c r="Z293" s="406" t="str">
        <f t="shared" si="111"/>
        <v/>
      </c>
      <c r="AA293" s="404" t="str">
        <f t="shared" si="112"/>
        <v/>
      </c>
      <c r="AB293" s="403" t="str">
        <f t="shared" si="136"/>
        <v/>
      </c>
      <c r="AC293" s="405" t="str">
        <f t="shared" si="114"/>
        <v/>
      </c>
      <c r="AD293" s="406" t="str">
        <f t="shared" si="115"/>
        <v/>
      </c>
      <c r="AE293" s="404" t="str">
        <f t="shared" si="116"/>
        <v/>
      </c>
      <c r="AF293" s="403" t="str">
        <f t="shared" si="137"/>
        <v/>
      </c>
      <c r="AG293" s="407" t="str">
        <f t="shared" si="118"/>
        <v/>
      </c>
      <c r="AH293" s="408" t="str">
        <f t="shared" si="119"/>
        <v/>
      </c>
      <c r="AI293" s="404" t="str">
        <f t="shared" si="120"/>
        <v/>
      </c>
      <c r="AJ293" s="403" t="str">
        <f t="shared" si="138"/>
        <v/>
      </c>
      <c r="AK293" s="405" t="str">
        <f t="shared" si="122"/>
        <v/>
      </c>
      <c r="AL293" s="406" t="str">
        <f t="shared" si="123"/>
        <v/>
      </c>
      <c r="AM293" s="419" t="str">
        <f t="shared" si="124"/>
        <v/>
      </c>
      <c r="AN293" s="38"/>
    </row>
    <row r="294" spans="1:40" ht="12.75" x14ac:dyDescent="0.2">
      <c r="A294" s="26"/>
      <c r="B294" s="38"/>
      <c r="C294" s="296" t="s">
        <v>637</v>
      </c>
      <c r="D294" s="296" t="str">
        <f t="shared" si="146"/>
        <v/>
      </c>
      <c r="E294" s="406" t="str">
        <f t="shared" si="146"/>
        <v/>
      </c>
      <c r="F294" s="415"/>
      <c r="G294" s="415"/>
      <c r="H294" s="415"/>
      <c r="I294" s="415"/>
      <c r="J294" s="415"/>
      <c r="K294" s="415"/>
      <c r="L294" s="415"/>
      <c r="M294" s="38"/>
      <c r="N294" s="403" t="str">
        <f t="shared" si="101"/>
        <v/>
      </c>
      <c r="O294" s="404" t="str">
        <f t="shared" si="102"/>
        <v/>
      </c>
      <c r="P294" s="403" t="str">
        <f t="shared" si="139"/>
        <v/>
      </c>
      <c r="Q294" s="405" t="str">
        <f t="shared" si="103"/>
        <v/>
      </c>
      <c r="R294" s="406" t="str">
        <f t="shared" si="140"/>
        <v/>
      </c>
      <c r="S294" s="404" t="str">
        <f t="shared" si="104"/>
        <v/>
      </c>
      <c r="T294" s="403" t="str">
        <f t="shared" si="134"/>
        <v/>
      </c>
      <c r="U294" s="407" t="str">
        <f t="shared" si="106"/>
        <v/>
      </c>
      <c r="V294" s="408" t="str">
        <f t="shared" si="107"/>
        <v/>
      </c>
      <c r="W294" s="404" t="str">
        <f t="shared" si="108"/>
        <v/>
      </c>
      <c r="X294" s="403" t="str">
        <f t="shared" si="135"/>
        <v/>
      </c>
      <c r="Y294" s="405" t="str">
        <f t="shared" si="110"/>
        <v/>
      </c>
      <c r="Z294" s="406" t="str">
        <f t="shared" si="111"/>
        <v/>
      </c>
      <c r="AA294" s="404" t="str">
        <f t="shared" si="112"/>
        <v/>
      </c>
      <c r="AB294" s="403" t="str">
        <f t="shared" si="136"/>
        <v/>
      </c>
      <c r="AC294" s="405" t="str">
        <f t="shared" si="114"/>
        <v/>
      </c>
      <c r="AD294" s="406" t="str">
        <f t="shared" si="115"/>
        <v/>
      </c>
      <c r="AE294" s="404" t="str">
        <f t="shared" si="116"/>
        <v/>
      </c>
      <c r="AF294" s="403" t="str">
        <f t="shared" si="137"/>
        <v/>
      </c>
      <c r="AG294" s="407" t="str">
        <f t="shared" si="118"/>
        <v/>
      </c>
      <c r="AH294" s="408" t="str">
        <f t="shared" si="119"/>
        <v/>
      </c>
      <c r="AI294" s="404" t="str">
        <f t="shared" si="120"/>
        <v/>
      </c>
      <c r="AJ294" s="403" t="str">
        <f t="shared" si="138"/>
        <v/>
      </c>
      <c r="AK294" s="405" t="str">
        <f t="shared" si="122"/>
        <v/>
      </c>
      <c r="AL294" s="406" t="str">
        <f t="shared" si="123"/>
        <v/>
      </c>
      <c r="AM294" s="419" t="str">
        <f t="shared" si="124"/>
        <v/>
      </c>
      <c r="AN294" s="38"/>
    </row>
    <row r="295" spans="1:40" ht="12.75" x14ac:dyDescent="0.2">
      <c r="A295" s="26"/>
      <c r="B295" s="38"/>
      <c r="C295" s="296" t="s">
        <v>637</v>
      </c>
      <c r="D295" s="296" t="str">
        <f t="shared" si="146"/>
        <v/>
      </c>
      <c r="E295" s="406" t="str">
        <f t="shared" si="146"/>
        <v/>
      </c>
      <c r="F295" s="415"/>
      <c r="G295" s="415"/>
      <c r="H295" s="415"/>
      <c r="I295" s="415"/>
      <c r="J295" s="415"/>
      <c r="K295" s="415"/>
      <c r="L295" s="415"/>
      <c r="M295" s="38"/>
      <c r="N295" s="403" t="str">
        <f t="shared" si="101"/>
        <v/>
      </c>
      <c r="O295" s="404" t="str">
        <f t="shared" si="102"/>
        <v/>
      </c>
      <c r="P295" s="403" t="str">
        <f t="shared" si="139"/>
        <v/>
      </c>
      <c r="Q295" s="405" t="str">
        <f t="shared" si="103"/>
        <v/>
      </c>
      <c r="R295" s="406" t="str">
        <f t="shared" si="140"/>
        <v/>
      </c>
      <c r="S295" s="404" t="str">
        <f t="shared" si="104"/>
        <v/>
      </c>
      <c r="T295" s="403" t="str">
        <f t="shared" si="134"/>
        <v/>
      </c>
      <c r="U295" s="407" t="str">
        <f t="shared" si="106"/>
        <v/>
      </c>
      <c r="V295" s="408" t="str">
        <f t="shared" si="107"/>
        <v/>
      </c>
      <c r="W295" s="404" t="str">
        <f t="shared" si="108"/>
        <v/>
      </c>
      <c r="X295" s="403" t="str">
        <f t="shared" si="135"/>
        <v/>
      </c>
      <c r="Y295" s="405" t="str">
        <f t="shared" si="110"/>
        <v/>
      </c>
      <c r="Z295" s="406" t="str">
        <f t="shared" si="111"/>
        <v/>
      </c>
      <c r="AA295" s="404" t="str">
        <f t="shared" si="112"/>
        <v/>
      </c>
      <c r="AB295" s="403" t="str">
        <f t="shared" si="136"/>
        <v/>
      </c>
      <c r="AC295" s="405" t="str">
        <f t="shared" si="114"/>
        <v/>
      </c>
      <c r="AD295" s="406" t="str">
        <f t="shared" si="115"/>
        <v/>
      </c>
      <c r="AE295" s="404" t="str">
        <f t="shared" si="116"/>
        <v/>
      </c>
      <c r="AF295" s="403" t="str">
        <f t="shared" si="137"/>
        <v/>
      </c>
      <c r="AG295" s="407" t="str">
        <f t="shared" si="118"/>
        <v/>
      </c>
      <c r="AH295" s="408" t="str">
        <f t="shared" si="119"/>
        <v/>
      </c>
      <c r="AI295" s="404" t="str">
        <f t="shared" si="120"/>
        <v/>
      </c>
      <c r="AJ295" s="403" t="str">
        <f t="shared" si="138"/>
        <v/>
      </c>
      <c r="AK295" s="405" t="str">
        <f t="shared" si="122"/>
        <v/>
      </c>
      <c r="AL295" s="406" t="str">
        <f t="shared" si="123"/>
        <v/>
      </c>
      <c r="AM295" s="419" t="str">
        <f t="shared" si="124"/>
        <v/>
      </c>
      <c r="AN295" s="38"/>
    </row>
    <row r="296" spans="1:40" ht="12.75" x14ac:dyDescent="0.2">
      <c r="A296" s="26"/>
      <c r="B296" s="38"/>
      <c r="C296" s="296" t="s">
        <v>637</v>
      </c>
      <c r="D296" s="296" t="str">
        <f t="shared" si="146"/>
        <v/>
      </c>
      <c r="E296" s="406" t="str">
        <f t="shared" si="146"/>
        <v/>
      </c>
      <c r="F296" s="415"/>
      <c r="G296" s="415"/>
      <c r="H296" s="415"/>
      <c r="I296" s="415"/>
      <c r="J296" s="415"/>
      <c r="K296" s="415"/>
      <c r="L296" s="415"/>
      <c r="M296" s="38"/>
      <c r="N296" s="403" t="str">
        <f t="shared" si="101"/>
        <v/>
      </c>
      <c r="O296" s="404" t="str">
        <f t="shared" si="102"/>
        <v/>
      </c>
      <c r="P296" s="403" t="str">
        <f t="shared" si="139"/>
        <v/>
      </c>
      <c r="Q296" s="405" t="str">
        <f t="shared" si="103"/>
        <v/>
      </c>
      <c r="R296" s="406" t="str">
        <f t="shared" si="140"/>
        <v/>
      </c>
      <c r="S296" s="404" t="str">
        <f t="shared" si="104"/>
        <v/>
      </c>
      <c r="T296" s="403" t="str">
        <f t="shared" si="134"/>
        <v/>
      </c>
      <c r="U296" s="407" t="str">
        <f t="shared" si="106"/>
        <v/>
      </c>
      <c r="V296" s="408" t="str">
        <f t="shared" si="107"/>
        <v/>
      </c>
      <c r="W296" s="404" t="str">
        <f t="shared" si="108"/>
        <v/>
      </c>
      <c r="X296" s="403" t="str">
        <f t="shared" si="135"/>
        <v/>
      </c>
      <c r="Y296" s="405" t="str">
        <f t="shared" si="110"/>
        <v/>
      </c>
      <c r="Z296" s="406" t="str">
        <f t="shared" si="111"/>
        <v/>
      </c>
      <c r="AA296" s="404" t="str">
        <f t="shared" si="112"/>
        <v/>
      </c>
      <c r="AB296" s="403" t="str">
        <f t="shared" si="136"/>
        <v/>
      </c>
      <c r="AC296" s="405" t="str">
        <f t="shared" si="114"/>
        <v/>
      </c>
      <c r="AD296" s="406" t="str">
        <f t="shared" si="115"/>
        <v/>
      </c>
      <c r="AE296" s="404" t="str">
        <f t="shared" si="116"/>
        <v/>
      </c>
      <c r="AF296" s="403" t="str">
        <f t="shared" si="137"/>
        <v/>
      </c>
      <c r="AG296" s="407" t="str">
        <f t="shared" si="118"/>
        <v/>
      </c>
      <c r="AH296" s="408" t="str">
        <f t="shared" si="119"/>
        <v/>
      </c>
      <c r="AI296" s="404" t="str">
        <f t="shared" si="120"/>
        <v/>
      </c>
      <c r="AJ296" s="403" t="str">
        <f t="shared" si="138"/>
        <v/>
      </c>
      <c r="AK296" s="405" t="str">
        <f t="shared" si="122"/>
        <v/>
      </c>
      <c r="AL296" s="406" t="str">
        <f t="shared" si="123"/>
        <v/>
      </c>
      <c r="AM296" s="419" t="str">
        <f t="shared" si="124"/>
        <v/>
      </c>
      <c r="AN296" s="38"/>
    </row>
    <row r="297" spans="1:40" ht="12.75" x14ac:dyDescent="0.2">
      <c r="A297" s="26"/>
      <c r="B297" s="38"/>
      <c r="C297" s="296" t="s">
        <v>637</v>
      </c>
      <c r="D297" s="296" t="str">
        <f t="shared" si="146"/>
        <v/>
      </c>
      <c r="E297" s="406" t="str">
        <f t="shared" si="146"/>
        <v/>
      </c>
      <c r="F297" s="415"/>
      <c r="G297" s="415"/>
      <c r="H297" s="415"/>
      <c r="I297" s="415"/>
      <c r="J297" s="415"/>
      <c r="K297" s="415"/>
      <c r="L297" s="415"/>
      <c r="M297" s="38"/>
      <c r="N297" s="403" t="str">
        <f t="shared" si="101"/>
        <v/>
      </c>
      <c r="O297" s="404" t="str">
        <f t="shared" si="102"/>
        <v/>
      </c>
      <c r="P297" s="403" t="str">
        <f t="shared" si="139"/>
        <v/>
      </c>
      <c r="Q297" s="405" t="str">
        <f t="shared" si="103"/>
        <v/>
      </c>
      <c r="R297" s="406" t="str">
        <f t="shared" si="140"/>
        <v/>
      </c>
      <c r="S297" s="404" t="str">
        <f t="shared" si="104"/>
        <v/>
      </c>
      <c r="T297" s="403" t="str">
        <f t="shared" si="134"/>
        <v/>
      </c>
      <c r="U297" s="407" t="str">
        <f t="shared" si="106"/>
        <v/>
      </c>
      <c r="V297" s="408" t="str">
        <f t="shared" si="107"/>
        <v/>
      </c>
      <c r="W297" s="404" t="str">
        <f t="shared" si="108"/>
        <v/>
      </c>
      <c r="X297" s="403" t="str">
        <f t="shared" si="135"/>
        <v/>
      </c>
      <c r="Y297" s="405" t="str">
        <f t="shared" si="110"/>
        <v/>
      </c>
      <c r="Z297" s="406" t="str">
        <f t="shared" si="111"/>
        <v/>
      </c>
      <c r="AA297" s="404" t="str">
        <f t="shared" si="112"/>
        <v/>
      </c>
      <c r="AB297" s="403" t="str">
        <f t="shared" si="136"/>
        <v/>
      </c>
      <c r="AC297" s="405" t="str">
        <f t="shared" si="114"/>
        <v/>
      </c>
      <c r="AD297" s="406" t="str">
        <f t="shared" si="115"/>
        <v/>
      </c>
      <c r="AE297" s="404" t="str">
        <f t="shared" si="116"/>
        <v/>
      </c>
      <c r="AF297" s="403" t="str">
        <f t="shared" si="137"/>
        <v/>
      </c>
      <c r="AG297" s="407" t="str">
        <f t="shared" si="118"/>
        <v/>
      </c>
      <c r="AH297" s="408" t="str">
        <f t="shared" si="119"/>
        <v/>
      </c>
      <c r="AI297" s="404" t="str">
        <f t="shared" si="120"/>
        <v/>
      </c>
      <c r="AJ297" s="403" t="str">
        <f t="shared" si="138"/>
        <v/>
      </c>
      <c r="AK297" s="405" t="str">
        <f t="shared" si="122"/>
        <v/>
      </c>
      <c r="AL297" s="406" t="str">
        <f t="shared" si="123"/>
        <v/>
      </c>
      <c r="AM297" s="419" t="str">
        <f t="shared" si="124"/>
        <v/>
      </c>
      <c r="AN297" s="38"/>
    </row>
    <row r="298" spans="1:40" ht="12.75" x14ac:dyDescent="0.2">
      <c r="A298" s="26"/>
      <c r="B298" s="38"/>
      <c r="C298" s="296" t="s">
        <v>637</v>
      </c>
      <c r="D298" s="296" t="str">
        <f t="shared" si="146"/>
        <v/>
      </c>
      <c r="E298" s="406" t="str">
        <f t="shared" si="146"/>
        <v/>
      </c>
      <c r="F298" s="415"/>
      <c r="G298" s="415"/>
      <c r="H298" s="415"/>
      <c r="I298" s="415"/>
      <c r="J298" s="415"/>
      <c r="K298" s="415"/>
      <c r="L298" s="415"/>
      <c r="M298" s="38"/>
      <c r="N298" s="403" t="str">
        <f t="shared" si="101"/>
        <v/>
      </c>
      <c r="O298" s="404" t="str">
        <f t="shared" si="102"/>
        <v/>
      </c>
      <c r="P298" s="403" t="str">
        <f t="shared" si="139"/>
        <v/>
      </c>
      <c r="Q298" s="405" t="str">
        <f t="shared" si="103"/>
        <v/>
      </c>
      <c r="R298" s="406" t="str">
        <f t="shared" si="140"/>
        <v/>
      </c>
      <c r="S298" s="404" t="str">
        <f t="shared" si="104"/>
        <v/>
      </c>
      <c r="T298" s="403" t="str">
        <f t="shared" si="134"/>
        <v/>
      </c>
      <c r="U298" s="407" t="str">
        <f t="shared" si="106"/>
        <v/>
      </c>
      <c r="V298" s="408" t="str">
        <f t="shared" si="107"/>
        <v/>
      </c>
      <c r="W298" s="404" t="str">
        <f t="shared" si="108"/>
        <v/>
      </c>
      <c r="X298" s="403" t="str">
        <f t="shared" si="135"/>
        <v/>
      </c>
      <c r="Y298" s="405" t="str">
        <f t="shared" si="110"/>
        <v/>
      </c>
      <c r="Z298" s="406" t="str">
        <f t="shared" si="111"/>
        <v/>
      </c>
      <c r="AA298" s="404" t="str">
        <f t="shared" si="112"/>
        <v/>
      </c>
      <c r="AB298" s="403" t="str">
        <f t="shared" si="136"/>
        <v/>
      </c>
      <c r="AC298" s="405" t="str">
        <f t="shared" si="114"/>
        <v/>
      </c>
      <c r="AD298" s="406" t="str">
        <f t="shared" si="115"/>
        <v/>
      </c>
      <c r="AE298" s="404" t="str">
        <f t="shared" si="116"/>
        <v/>
      </c>
      <c r="AF298" s="403" t="str">
        <f t="shared" si="137"/>
        <v/>
      </c>
      <c r="AG298" s="407" t="str">
        <f t="shared" si="118"/>
        <v/>
      </c>
      <c r="AH298" s="408" t="str">
        <f t="shared" si="119"/>
        <v/>
      </c>
      <c r="AI298" s="404" t="str">
        <f t="shared" si="120"/>
        <v/>
      </c>
      <c r="AJ298" s="403" t="str">
        <f t="shared" si="138"/>
        <v/>
      </c>
      <c r="AK298" s="405" t="str">
        <f t="shared" si="122"/>
        <v/>
      </c>
      <c r="AL298" s="406" t="str">
        <f t="shared" si="123"/>
        <v/>
      </c>
      <c r="AM298" s="419" t="str">
        <f t="shared" si="124"/>
        <v/>
      </c>
      <c r="AN298" s="38"/>
    </row>
    <row r="299" spans="1:40" ht="12.75" x14ac:dyDescent="0.2">
      <c r="A299" s="26"/>
      <c r="B299" s="38"/>
      <c r="C299" s="296" t="s">
        <v>637</v>
      </c>
      <c r="D299" s="296" t="str">
        <f t="shared" si="146"/>
        <v/>
      </c>
      <c r="E299" s="406" t="str">
        <f t="shared" si="146"/>
        <v/>
      </c>
      <c r="F299" s="415"/>
      <c r="G299" s="415"/>
      <c r="H299" s="415"/>
      <c r="I299" s="415"/>
      <c r="J299" s="415"/>
      <c r="K299" s="415"/>
      <c r="L299" s="415"/>
      <c r="M299" s="38"/>
      <c r="N299" s="403" t="str">
        <f t="shared" si="101"/>
        <v/>
      </c>
      <c r="O299" s="404" t="str">
        <f t="shared" si="102"/>
        <v/>
      </c>
      <c r="P299" s="403" t="str">
        <f t="shared" si="139"/>
        <v/>
      </c>
      <c r="Q299" s="405" t="str">
        <f t="shared" si="103"/>
        <v/>
      </c>
      <c r="R299" s="406" t="str">
        <f t="shared" si="140"/>
        <v/>
      </c>
      <c r="S299" s="404" t="str">
        <f t="shared" si="104"/>
        <v/>
      </c>
      <c r="T299" s="403" t="str">
        <f t="shared" si="134"/>
        <v/>
      </c>
      <c r="U299" s="407" t="str">
        <f t="shared" si="106"/>
        <v/>
      </c>
      <c r="V299" s="408" t="str">
        <f t="shared" si="107"/>
        <v/>
      </c>
      <c r="W299" s="404" t="str">
        <f t="shared" si="108"/>
        <v/>
      </c>
      <c r="X299" s="403" t="str">
        <f t="shared" si="135"/>
        <v/>
      </c>
      <c r="Y299" s="405" t="str">
        <f t="shared" si="110"/>
        <v/>
      </c>
      <c r="Z299" s="406" t="str">
        <f t="shared" si="111"/>
        <v/>
      </c>
      <c r="AA299" s="404" t="str">
        <f t="shared" si="112"/>
        <v/>
      </c>
      <c r="AB299" s="403" t="str">
        <f t="shared" si="136"/>
        <v/>
      </c>
      <c r="AC299" s="405" t="str">
        <f t="shared" si="114"/>
        <v/>
      </c>
      <c r="AD299" s="406" t="str">
        <f t="shared" si="115"/>
        <v/>
      </c>
      <c r="AE299" s="404" t="str">
        <f t="shared" si="116"/>
        <v/>
      </c>
      <c r="AF299" s="403" t="str">
        <f t="shared" si="137"/>
        <v/>
      </c>
      <c r="AG299" s="407" t="str">
        <f t="shared" si="118"/>
        <v/>
      </c>
      <c r="AH299" s="408" t="str">
        <f t="shared" si="119"/>
        <v/>
      </c>
      <c r="AI299" s="404" t="str">
        <f t="shared" si="120"/>
        <v/>
      </c>
      <c r="AJ299" s="403" t="str">
        <f t="shared" si="138"/>
        <v/>
      </c>
      <c r="AK299" s="405" t="str">
        <f t="shared" si="122"/>
        <v/>
      </c>
      <c r="AL299" s="406" t="str">
        <f t="shared" si="123"/>
        <v/>
      </c>
      <c r="AM299" s="419" t="str">
        <f t="shared" si="124"/>
        <v/>
      </c>
      <c r="AN299" s="38"/>
    </row>
    <row r="300" spans="1:40" ht="12.75" x14ac:dyDescent="0.2">
      <c r="A300" s="26"/>
      <c r="B300" s="38"/>
      <c r="C300" s="296" t="s">
        <v>637</v>
      </c>
      <c r="D300" s="296" t="str">
        <f t="shared" si="146"/>
        <v/>
      </c>
      <c r="E300" s="406" t="str">
        <f t="shared" si="146"/>
        <v/>
      </c>
      <c r="F300" s="415"/>
      <c r="G300" s="415"/>
      <c r="H300" s="415"/>
      <c r="I300" s="415"/>
      <c r="J300" s="415"/>
      <c r="K300" s="415"/>
      <c r="L300" s="415"/>
      <c r="M300" s="38"/>
      <c r="N300" s="403" t="str">
        <f t="shared" si="101"/>
        <v/>
      </c>
      <c r="O300" s="404" t="str">
        <f t="shared" si="102"/>
        <v/>
      </c>
      <c r="P300" s="403" t="str">
        <f t="shared" si="139"/>
        <v/>
      </c>
      <c r="Q300" s="405" t="str">
        <f t="shared" si="103"/>
        <v/>
      </c>
      <c r="R300" s="406" t="str">
        <f t="shared" si="140"/>
        <v/>
      </c>
      <c r="S300" s="404" t="str">
        <f t="shared" si="104"/>
        <v/>
      </c>
      <c r="T300" s="403" t="str">
        <f t="shared" si="134"/>
        <v/>
      </c>
      <c r="U300" s="407" t="str">
        <f t="shared" si="106"/>
        <v/>
      </c>
      <c r="V300" s="408" t="str">
        <f t="shared" si="107"/>
        <v/>
      </c>
      <c r="W300" s="404" t="str">
        <f t="shared" si="108"/>
        <v/>
      </c>
      <c r="X300" s="403" t="str">
        <f t="shared" si="135"/>
        <v/>
      </c>
      <c r="Y300" s="405" t="str">
        <f t="shared" si="110"/>
        <v/>
      </c>
      <c r="Z300" s="406" t="str">
        <f t="shared" si="111"/>
        <v/>
      </c>
      <c r="AA300" s="404" t="str">
        <f t="shared" si="112"/>
        <v/>
      </c>
      <c r="AB300" s="403" t="str">
        <f t="shared" si="136"/>
        <v/>
      </c>
      <c r="AC300" s="405" t="str">
        <f t="shared" si="114"/>
        <v/>
      </c>
      <c r="AD300" s="406" t="str">
        <f t="shared" si="115"/>
        <v/>
      </c>
      <c r="AE300" s="404" t="str">
        <f t="shared" si="116"/>
        <v/>
      </c>
      <c r="AF300" s="403" t="str">
        <f t="shared" si="137"/>
        <v/>
      </c>
      <c r="AG300" s="407" t="str">
        <f t="shared" si="118"/>
        <v/>
      </c>
      <c r="AH300" s="408" t="str">
        <f t="shared" si="119"/>
        <v/>
      </c>
      <c r="AI300" s="404" t="str">
        <f t="shared" si="120"/>
        <v/>
      </c>
      <c r="AJ300" s="403" t="str">
        <f t="shared" si="138"/>
        <v/>
      </c>
      <c r="AK300" s="405" t="str">
        <f t="shared" si="122"/>
        <v/>
      </c>
      <c r="AL300" s="406" t="str">
        <f t="shared" si="123"/>
        <v/>
      </c>
      <c r="AM300" s="419" t="str">
        <f t="shared" si="124"/>
        <v/>
      </c>
      <c r="AN300" s="38"/>
    </row>
    <row r="301" spans="1:40" ht="12.75" x14ac:dyDescent="0.2">
      <c r="A301" s="26"/>
      <c r="B301" s="38"/>
      <c r="C301" s="296" t="s">
        <v>637</v>
      </c>
      <c r="D301" s="296" t="str">
        <f t="shared" si="146"/>
        <v/>
      </c>
      <c r="E301" s="406" t="str">
        <f t="shared" si="146"/>
        <v/>
      </c>
      <c r="F301" s="415"/>
      <c r="G301" s="415"/>
      <c r="H301" s="415"/>
      <c r="I301" s="415"/>
      <c r="J301" s="415"/>
      <c r="K301" s="415"/>
      <c r="L301" s="415"/>
      <c r="M301" s="38"/>
      <c r="N301" s="403" t="str">
        <f t="shared" si="101"/>
        <v/>
      </c>
      <c r="O301" s="404" t="str">
        <f t="shared" si="102"/>
        <v/>
      </c>
      <c r="P301" s="403" t="str">
        <f t="shared" si="139"/>
        <v/>
      </c>
      <c r="Q301" s="405" t="str">
        <f t="shared" si="103"/>
        <v/>
      </c>
      <c r="R301" s="406" t="str">
        <f t="shared" si="140"/>
        <v/>
      </c>
      <c r="S301" s="404" t="str">
        <f t="shared" si="104"/>
        <v/>
      </c>
      <c r="T301" s="403" t="str">
        <f t="shared" si="134"/>
        <v/>
      </c>
      <c r="U301" s="407" t="str">
        <f t="shared" si="106"/>
        <v/>
      </c>
      <c r="V301" s="408" t="str">
        <f t="shared" si="107"/>
        <v/>
      </c>
      <c r="W301" s="404" t="str">
        <f t="shared" si="108"/>
        <v/>
      </c>
      <c r="X301" s="403" t="str">
        <f t="shared" si="135"/>
        <v/>
      </c>
      <c r="Y301" s="405" t="str">
        <f t="shared" si="110"/>
        <v/>
      </c>
      <c r="Z301" s="406" t="str">
        <f t="shared" si="111"/>
        <v/>
      </c>
      <c r="AA301" s="404" t="str">
        <f t="shared" si="112"/>
        <v/>
      </c>
      <c r="AB301" s="403" t="str">
        <f t="shared" si="136"/>
        <v/>
      </c>
      <c r="AC301" s="405" t="str">
        <f t="shared" si="114"/>
        <v/>
      </c>
      <c r="AD301" s="406" t="str">
        <f t="shared" si="115"/>
        <v/>
      </c>
      <c r="AE301" s="404" t="str">
        <f t="shared" si="116"/>
        <v/>
      </c>
      <c r="AF301" s="403" t="str">
        <f t="shared" si="137"/>
        <v/>
      </c>
      <c r="AG301" s="407" t="str">
        <f t="shared" si="118"/>
        <v/>
      </c>
      <c r="AH301" s="408" t="str">
        <f t="shared" si="119"/>
        <v/>
      </c>
      <c r="AI301" s="404" t="str">
        <f t="shared" si="120"/>
        <v/>
      </c>
      <c r="AJ301" s="403" t="str">
        <f t="shared" si="138"/>
        <v/>
      </c>
      <c r="AK301" s="405" t="str">
        <f t="shared" si="122"/>
        <v/>
      </c>
      <c r="AL301" s="406" t="str">
        <f t="shared" si="123"/>
        <v/>
      </c>
      <c r="AM301" s="419" t="str">
        <f t="shared" si="124"/>
        <v/>
      </c>
      <c r="AN301" s="38"/>
    </row>
    <row r="302" spans="1:40" s="165" customFormat="1" ht="12.75" x14ac:dyDescent="0.2">
      <c r="A302" s="539"/>
      <c r="B302" s="540"/>
      <c r="C302" s="579"/>
      <c r="D302" s="579" t="s">
        <v>613</v>
      </c>
      <c r="E302" s="406" t="str">
        <f>E176</f>
        <v/>
      </c>
      <c r="F302" s="406" t="e">
        <f>F659/'WK3 - Notional GI 15-16 YIELD'!$D$81</f>
        <v>#DIV/0!</v>
      </c>
      <c r="G302" s="406" t="e">
        <f>G659/'WK3 - Notional GI 15-16 YIELD'!$D$81</f>
        <v>#DIV/0!</v>
      </c>
      <c r="H302" s="406" t="e">
        <f>H659/'WK3 - Notional GI 15-16 YIELD'!$D$81</f>
        <v>#DIV/0!</v>
      </c>
      <c r="I302" s="406" t="e">
        <f>I659/'WK3 - Notional GI 15-16 YIELD'!$D$81</f>
        <v>#DIV/0!</v>
      </c>
      <c r="J302" s="406" t="e">
        <f>J659/'WK3 - Notional GI 15-16 YIELD'!$D$81</f>
        <v>#DIV/0!</v>
      </c>
      <c r="K302" s="406" t="e">
        <f>K659/'WK3 - Notional GI 15-16 YIELD'!$D$81</f>
        <v>#DIV/0!</v>
      </c>
      <c r="L302" s="406" t="e">
        <f>L659/'WK3 - Notional GI 15-16 YIELD'!$D$81</f>
        <v>#DIV/0!</v>
      </c>
      <c r="M302" s="540"/>
      <c r="N302" s="403" t="e">
        <f t="shared" si="101"/>
        <v>#DIV/0!</v>
      </c>
      <c r="O302" s="404" t="e">
        <f t="shared" si="102"/>
        <v>#DIV/0!</v>
      </c>
      <c r="P302" s="403" t="e">
        <f t="shared" si="139"/>
        <v>#DIV/0!</v>
      </c>
      <c r="Q302" s="405" t="e">
        <f t="shared" si="103"/>
        <v>#DIV/0!</v>
      </c>
      <c r="R302" s="406" t="e">
        <f t="shared" si="140"/>
        <v>#DIV/0!</v>
      </c>
      <c r="S302" s="404" t="e">
        <f t="shared" si="104"/>
        <v>#DIV/0!</v>
      </c>
      <c r="T302" s="403" t="e">
        <f t="shared" si="134"/>
        <v>#DIV/0!</v>
      </c>
      <c r="U302" s="407" t="e">
        <f t="shared" si="106"/>
        <v>#DIV/0!</v>
      </c>
      <c r="V302" s="408" t="e">
        <f t="shared" si="107"/>
        <v>#DIV/0!</v>
      </c>
      <c r="W302" s="404" t="e">
        <f t="shared" si="108"/>
        <v>#DIV/0!</v>
      </c>
      <c r="X302" s="403" t="e">
        <f t="shared" si="135"/>
        <v>#DIV/0!</v>
      </c>
      <c r="Y302" s="405" t="e">
        <f t="shared" si="110"/>
        <v>#DIV/0!</v>
      </c>
      <c r="Z302" s="406" t="e">
        <f t="shared" si="111"/>
        <v>#DIV/0!</v>
      </c>
      <c r="AA302" s="404" t="e">
        <f t="shared" si="112"/>
        <v>#DIV/0!</v>
      </c>
      <c r="AB302" s="403" t="e">
        <f t="shared" si="136"/>
        <v>#DIV/0!</v>
      </c>
      <c r="AC302" s="405" t="e">
        <f t="shared" si="114"/>
        <v>#DIV/0!</v>
      </c>
      <c r="AD302" s="406" t="e">
        <f t="shared" si="115"/>
        <v>#DIV/0!</v>
      </c>
      <c r="AE302" s="404" t="e">
        <f t="shared" si="116"/>
        <v>#DIV/0!</v>
      </c>
      <c r="AF302" s="403" t="e">
        <f t="shared" si="137"/>
        <v>#DIV/0!</v>
      </c>
      <c r="AG302" s="407" t="e">
        <f t="shared" si="118"/>
        <v>#DIV/0!</v>
      </c>
      <c r="AH302" s="408" t="e">
        <f t="shared" si="119"/>
        <v>#DIV/0!</v>
      </c>
      <c r="AI302" s="404" t="e">
        <f t="shared" si="120"/>
        <v>#DIV/0!</v>
      </c>
      <c r="AJ302" s="403" t="e">
        <f t="shared" si="138"/>
        <v>#DIV/0!</v>
      </c>
      <c r="AK302" s="405" t="e">
        <f t="shared" si="122"/>
        <v>#DIV/0!</v>
      </c>
      <c r="AL302" s="406" t="e">
        <f t="shared" si="123"/>
        <v>#DIV/0!</v>
      </c>
      <c r="AM302" s="419" t="e">
        <f t="shared" si="124"/>
        <v>#DIV/0!</v>
      </c>
      <c r="AN302" s="540"/>
    </row>
    <row r="303" spans="1:40" ht="13.5" thickBot="1" x14ac:dyDescent="0.25">
      <c r="A303" s="26"/>
      <c r="B303" s="38"/>
      <c r="C303" s="580"/>
      <c r="D303" s="417"/>
      <c r="E303" s="417"/>
      <c r="F303" s="417"/>
      <c r="G303" s="417"/>
      <c r="H303" s="417"/>
      <c r="I303" s="417"/>
      <c r="J303" s="417"/>
      <c r="K303" s="417"/>
      <c r="L303" s="580"/>
      <c r="M303" s="38"/>
      <c r="N303" s="409" t="str">
        <f t="shared" si="101"/>
        <v/>
      </c>
      <c r="O303" s="410" t="str">
        <f t="shared" si="102"/>
        <v/>
      </c>
      <c r="P303" s="409" t="str">
        <f>IF(G303=0,"",IF(F303=0,"",G303-F303))</f>
        <v/>
      </c>
      <c r="Q303" s="411" t="str">
        <f t="shared" si="103"/>
        <v/>
      </c>
      <c r="R303" s="412" t="str">
        <f>IF(P303="","",P303+N303)</f>
        <v/>
      </c>
      <c r="S303" s="410" t="str">
        <f t="shared" si="104"/>
        <v/>
      </c>
      <c r="T303" s="409" t="str">
        <f>IF(H303=0,"",IF(G303=0,"",H303-G303))</f>
        <v/>
      </c>
      <c r="U303" s="413" t="str">
        <f>IF(T303="","",T303/G303)</f>
        <v/>
      </c>
      <c r="V303" s="414" t="str">
        <f>IF(T303="","",T303+R303)</f>
        <v/>
      </c>
      <c r="W303" s="410" t="str">
        <f>IF(V303="","",V303/E303)</f>
        <v/>
      </c>
      <c r="X303" s="409" t="str">
        <f>IF(I303=0,"",IF(H303=0,"",I303-H303))</f>
        <v/>
      </c>
      <c r="Y303" s="411" t="str">
        <f>IF(X303="","",X303/H303)</f>
        <v/>
      </c>
      <c r="Z303" s="412" t="str">
        <f>IF(X303="","",X303+V303)</f>
        <v/>
      </c>
      <c r="AA303" s="410" t="str">
        <f>IF(Z303="","",Z303/E303)</f>
        <v/>
      </c>
      <c r="AB303" s="409" t="str">
        <f>IF(J303=0,"",IF(I303=0,"",J303-I303))</f>
        <v/>
      </c>
      <c r="AC303" s="411" t="str">
        <f>IF(AB303="","",AB303/I303)</f>
        <v/>
      </c>
      <c r="AD303" s="412" t="str">
        <f>IF(AB303="","",AB303+Z303)</f>
        <v/>
      </c>
      <c r="AE303" s="410" t="str">
        <f>IF(AD303="","",AD303/E303)</f>
        <v/>
      </c>
      <c r="AF303" s="409" t="str">
        <f>IF(K303=0,"",IF(J303=0,"",K303-J303))</f>
        <v/>
      </c>
      <c r="AG303" s="413" t="str">
        <f>IF(AF303="","",AF303/J303)</f>
        <v/>
      </c>
      <c r="AH303" s="414" t="str">
        <f>IF(AF303="","",AF303+AD303)</f>
        <v/>
      </c>
      <c r="AI303" s="410" t="str">
        <f>IF(AH303="","",AH303/E303)</f>
        <v/>
      </c>
      <c r="AJ303" s="409" t="str">
        <f>IF(L303=0,"",IF(K303=0,"",L303-K303))</f>
        <v/>
      </c>
      <c r="AK303" s="411" t="str">
        <f>IF(AJ303="","",AJ303/K303)</f>
        <v/>
      </c>
      <c r="AL303" s="412" t="str">
        <f>IF(AJ303="","",AJ303+AH303)</f>
        <v/>
      </c>
      <c r="AM303" s="420" t="str">
        <f>IF(AL303="","",AL303/E303)</f>
        <v/>
      </c>
      <c r="AN303" s="38"/>
    </row>
    <row r="304" spans="1:40" ht="12.75" thickTop="1" x14ac:dyDescent="0.2">
      <c r="A304" s="28"/>
      <c r="B304" s="38"/>
      <c r="C304" s="38"/>
      <c r="D304" s="38"/>
      <c r="E304" s="38"/>
      <c r="F304" s="38"/>
      <c r="G304" s="38"/>
      <c r="H304" s="38"/>
      <c r="I304" s="38"/>
      <c r="J304" s="38"/>
      <c r="K304" s="38"/>
      <c r="L304" s="38"/>
      <c r="M304" s="38"/>
      <c r="N304" s="275"/>
      <c r="O304" s="275"/>
      <c r="P304" s="275"/>
      <c r="Q304" s="275"/>
      <c r="R304" s="275"/>
      <c r="S304" s="275"/>
      <c r="T304" s="275"/>
      <c r="U304" s="275"/>
      <c r="V304" s="275"/>
      <c r="W304" s="275"/>
      <c r="X304" s="275"/>
      <c r="Y304" s="275"/>
      <c r="Z304" s="275"/>
      <c r="AA304" s="275"/>
      <c r="AB304" s="275"/>
      <c r="AC304" s="275"/>
      <c r="AD304" s="275"/>
      <c r="AE304" s="275"/>
      <c r="AF304" s="275"/>
      <c r="AG304" s="275"/>
      <c r="AH304" s="275"/>
      <c r="AI304" s="275"/>
      <c r="AJ304" s="275"/>
      <c r="AK304" s="275"/>
      <c r="AL304" s="275"/>
      <c r="AM304" s="275"/>
      <c r="AN304" s="38"/>
    </row>
    <row r="305" spans="1:40" x14ac:dyDescent="0.2">
      <c r="A305" s="25"/>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row>
    <row r="306" spans="1:40" ht="15.75" x14ac:dyDescent="0.25">
      <c r="A306" s="26"/>
      <c r="B306" s="38"/>
      <c r="C306" s="84" t="s">
        <v>104</v>
      </c>
      <c r="D306" s="38"/>
      <c r="E306" s="38"/>
      <c r="F306" s="38"/>
      <c r="G306" s="38"/>
      <c r="H306" s="38"/>
      <c r="I306" s="38"/>
      <c r="J306" s="38"/>
      <c r="K306" s="38"/>
      <c r="L306" s="38"/>
      <c r="M306" s="38"/>
      <c r="N306" s="84"/>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row>
    <row r="307" spans="1:40" x14ac:dyDescent="0.2">
      <c r="A307" s="26"/>
      <c r="B307" s="38"/>
      <c r="C307" s="38" t="s">
        <v>0</v>
      </c>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row>
    <row r="308" spans="1:40" ht="12.75" thickBot="1" x14ac:dyDescent="0.25">
      <c r="A308" s="26"/>
      <c r="B308" s="38"/>
      <c r="C308" s="38"/>
      <c r="D308" s="38"/>
      <c r="E308" s="38"/>
      <c r="F308" s="38"/>
      <c r="G308" s="38"/>
      <c r="H308" s="38"/>
      <c r="I308" s="38"/>
      <c r="J308" s="38"/>
      <c r="K308" s="38"/>
      <c r="L308" s="38"/>
      <c r="M308" s="38"/>
      <c r="N308" s="277"/>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row>
    <row r="309" spans="1:40" ht="17.25" thickTop="1" thickBot="1" x14ac:dyDescent="0.3">
      <c r="A309" s="26"/>
      <c r="B309" s="38"/>
      <c r="C309" s="38"/>
      <c r="D309" s="38"/>
      <c r="E309" s="38"/>
      <c r="F309" s="805" t="s">
        <v>105</v>
      </c>
      <c r="G309" s="806"/>
      <c r="H309" s="806"/>
      <c r="I309" s="806"/>
      <c r="J309" s="806"/>
      <c r="K309" s="806"/>
      <c r="L309" s="807"/>
      <c r="M309" s="45"/>
      <c r="N309" s="810" t="s">
        <v>906</v>
      </c>
      <c r="O309" s="811"/>
      <c r="P309" s="811"/>
      <c r="Q309" s="811"/>
      <c r="R309" s="811"/>
      <c r="S309" s="811"/>
      <c r="T309" s="811"/>
      <c r="U309" s="811"/>
      <c r="V309" s="811"/>
      <c r="W309" s="811"/>
      <c r="X309" s="811"/>
      <c r="Y309" s="811"/>
      <c r="Z309" s="811"/>
      <c r="AA309" s="811"/>
      <c r="AB309" s="811"/>
      <c r="AC309" s="811"/>
      <c r="AD309" s="811"/>
      <c r="AE309" s="811"/>
      <c r="AF309" s="811"/>
      <c r="AG309" s="811"/>
      <c r="AH309" s="811"/>
      <c r="AI309" s="811"/>
      <c r="AJ309" s="811"/>
      <c r="AK309" s="811"/>
      <c r="AL309" s="811"/>
      <c r="AM309" s="812"/>
      <c r="AN309" s="38"/>
    </row>
    <row r="310" spans="1:40" ht="39" customHeight="1" thickTop="1" x14ac:dyDescent="0.2">
      <c r="A310" s="26"/>
      <c r="B310" s="38"/>
      <c r="C310" s="801" t="s">
        <v>106</v>
      </c>
      <c r="D310" s="802"/>
      <c r="E310" s="292" t="s">
        <v>918</v>
      </c>
      <c r="F310" s="293" t="s">
        <v>107</v>
      </c>
      <c r="G310" s="293" t="s">
        <v>108</v>
      </c>
      <c r="H310" s="293" t="s">
        <v>109</v>
      </c>
      <c r="I310" s="293" t="s">
        <v>110</v>
      </c>
      <c r="J310" s="293" t="s">
        <v>111</v>
      </c>
      <c r="K310" s="293" t="s">
        <v>112</v>
      </c>
      <c r="L310" s="294" t="s">
        <v>113</v>
      </c>
      <c r="M310" s="45"/>
      <c r="N310" s="796" t="s">
        <v>114</v>
      </c>
      <c r="O310" s="798"/>
      <c r="P310" s="796" t="s">
        <v>115</v>
      </c>
      <c r="Q310" s="797"/>
      <c r="R310" s="797"/>
      <c r="S310" s="798"/>
      <c r="T310" s="796" t="s">
        <v>116</v>
      </c>
      <c r="U310" s="797"/>
      <c r="V310" s="797"/>
      <c r="W310" s="798"/>
      <c r="X310" s="793" t="s">
        <v>117</v>
      </c>
      <c r="Y310" s="794"/>
      <c r="Z310" s="794"/>
      <c r="AA310" s="795"/>
      <c r="AB310" s="793" t="s">
        <v>118</v>
      </c>
      <c r="AC310" s="794"/>
      <c r="AD310" s="794"/>
      <c r="AE310" s="795"/>
      <c r="AF310" s="793" t="s">
        <v>119</v>
      </c>
      <c r="AG310" s="794"/>
      <c r="AH310" s="794"/>
      <c r="AI310" s="795"/>
      <c r="AJ310" s="793" t="s">
        <v>120</v>
      </c>
      <c r="AK310" s="794"/>
      <c r="AL310" s="794"/>
      <c r="AM310" s="795"/>
      <c r="AN310" s="38"/>
    </row>
    <row r="311" spans="1:40" ht="12.75" x14ac:dyDescent="0.2">
      <c r="A311" s="26"/>
      <c r="B311" s="38"/>
      <c r="C311" s="297"/>
      <c r="D311" s="88"/>
      <c r="E311" s="160" t="str">
        <f t="shared" ref="E311:L311" si="147">E183</f>
        <v>2014/15</v>
      </c>
      <c r="F311" s="160" t="str">
        <f t="shared" si="147"/>
        <v>2015/16</v>
      </c>
      <c r="G311" s="160" t="str">
        <f t="shared" si="147"/>
        <v>2016/17</v>
      </c>
      <c r="H311" s="160" t="str">
        <f t="shared" si="147"/>
        <v>2017/18</v>
      </c>
      <c r="I311" s="160" t="str">
        <f t="shared" si="147"/>
        <v>2018/19</v>
      </c>
      <c r="J311" s="160" t="str">
        <f t="shared" si="147"/>
        <v>2019/20</v>
      </c>
      <c r="K311" s="160" t="str">
        <f t="shared" si="147"/>
        <v>2020/21</v>
      </c>
      <c r="L311" s="182" t="str">
        <f t="shared" si="147"/>
        <v>2021/22</v>
      </c>
      <c r="M311" s="45"/>
      <c r="N311" s="251" t="s">
        <v>102</v>
      </c>
      <c r="O311" s="248" t="s">
        <v>125</v>
      </c>
      <c r="P311" s="251" t="s">
        <v>102</v>
      </c>
      <c r="Q311" s="247" t="s">
        <v>125</v>
      </c>
      <c r="R311" s="244" t="s">
        <v>103</v>
      </c>
      <c r="S311" s="248" t="s">
        <v>125</v>
      </c>
      <c r="T311" s="251" t="s">
        <v>102</v>
      </c>
      <c r="U311" s="247" t="s">
        <v>125</v>
      </c>
      <c r="V311" s="244" t="s">
        <v>103</v>
      </c>
      <c r="W311" s="248" t="s">
        <v>125</v>
      </c>
      <c r="X311" s="251" t="s">
        <v>102</v>
      </c>
      <c r="Y311" s="244" t="s">
        <v>125</v>
      </c>
      <c r="Z311" s="245" t="s">
        <v>103</v>
      </c>
      <c r="AA311" s="248" t="s">
        <v>125</v>
      </c>
      <c r="AB311" s="251" t="s">
        <v>102</v>
      </c>
      <c r="AC311" s="247" t="s">
        <v>125</v>
      </c>
      <c r="AD311" s="244" t="s">
        <v>103</v>
      </c>
      <c r="AE311" s="248" t="s">
        <v>125</v>
      </c>
      <c r="AF311" s="251" t="s">
        <v>102</v>
      </c>
      <c r="AG311" s="244" t="s">
        <v>125</v>
      </c>
      <c r="AH311" s="245" t="s">
        <v>103</v>
      </c>
      <c r="AI311" s="248" t="s">
        <v>125</v>
      </c>
      <c r="AJ311" s="251" t="s">
        <v>102</v>
      </c>
      <c r="AK311" s="247" t="s">
        <v>125</v>
      </c>
      <c r="AL311" s="244" t="s">
        <v>103</v>
      </c>
      <c r="AM311" s="248" t="s">
        <v>125</v>
      </c>
      <c r="AN311" s="38"/>
    </row>
    <row r="312" spans="1:40" ht="12.75" x14ac:dyDescent="0.2">
      <c r="A312" s="124"/>
      <c r="B312" s="38"/>
      <c r="C312" s="799" t="s">
        <v>957</v>
      </c>
      <c r="D312" s="800"/>
      <c r="E312" s="415">
        <v>226</v>
      </c>
      <c r="F312" s="415">
        <v>234</v>
      </c>
      <c r="G312" s="415">
        <v>245</v>
      </c>
      <c r="H312" s="415">
        <v>253</v>
      </c>
      <c r="I312" s="415">
        <v>261</v>
      </c>
      <c r="J312" s="415">
        <v>269</v>
      </c>
      <c r="K312" s="415">
        <v>278</v>
      </c>
      <c r="L312" s="415">
        <v>287</v>
      </c>
      <c r="M312" s="45"/>
      <c r="N312" s="403">
        <f t="shared" ref="N312:N337" si="148">IF(F312=0,"",IF(E312=0,"",F312-E312))</f>
        <v>8</v>
      </c>
      <c r="O312" s="404">
        <f t="shared" ref="O312:O337" si="149">IF(N312="","",N312/E312)</f>
        <v>3.5398230088495575E-2</v>
      </c>
      <c r="P312" s="403">
        <f>IF(G312=0,"",IF(F312=0,"",G312-F312))</f>
        <v>11</v>
      </c>
      <c r="Q312" s="405">
        <f t="shared" ref="Q312:Q337" si="150">IF(P312="","",P312/F312)</f>
        <v>4.7008547008547008E-2</v>
      </c>
      <c r="R312" s="406">
        <f>IF(P312="","",P312+N312)</f>
        <v>19</v>
      </c>
      <c r="S312" s="404">
        <f t="shared" ref="S312:S337" si="151">IF(R312="","",R312/E312)</f>
        <v>8.4070796460176997E-2</v>
      </c>
      <c r="T312" s="403">
        <f>IF(H312=0,"",IF(G312=0,"",H312-G312))</f>
        <v>8</v>
      </c>
      <c r="U312" s="405">
        <f t="shared" ref="U312:U337" si="152">IF(T312="","",T312/G312)</f>
        <v>3.2653061224489799E-2</v>
      </c>
      <c r="V312" s="406">
        <f>IF(T312="","",T312+R312)</f>
        <v>27</v>
      </c>
      <c r="W312" s="404">
        <f t="shared" ref="W312:W337" si="153">IF(V312="","",V312/E312)</f>
        <v>0.11946902654867257</v>
      </c>
      <c r="X312" s="403">
        <f>IF(I312=0,"",IF(H312=0,"",I312-H312))</f>
        <v>8</v>
      </c>
      <c r="Y312" s="407">
        <f t="shared" ref="Y312:Y337" si="154">IF(X312="","",X312/H312)</f>
        <v>3.1620553359683792E-2</v>
      </c>
      <c r="Z312" s="408">
        <f>IF(X312="","",X312+V312)</f>
        <v>35</v>
      </c>
      <c r="AA312" s="404">
        <f t="shared" ref="AA312:AA337" si="155">IF(Z312="","",Z312/E312)</f>
        <v>0.15486725663716813</v>
      </c>
      <c r="AB312" s="403">
        <f>IF(J312=0,"",IF(I312=0,"",J312-I312))</f>
        <v>8</v>
      </c>
      <c r="AC312" s="405">
        <f t="shared" ref="AC312:AC337" si="156">IF(AB312="","",AB312/I312)</f>
        <v>3.0651340996168581E-2</v>
      </c>
      <c r="AD312" s="406">
        <f t="shared" ref="AD312:AD337" si="157">IF(AB312="","",AB312+Z312)</f>
        <v>43</v>
      </c>
      <c r="AE312" s="404">
        <f t="shared" ref="AE312:AE337" si="158">IF(AD312="","",AD312/E312)</f>
        <v>0.19026548672566371</v>
      </c>
      <c r="AF312" s="403">
        <f>IF(K312=0,"",IF(J312=0,"",K312-J312))</f>
        <v>9</v>
      </c>
      <c r="AG312" s="407">
        <f t="shared" ref="AG312:AG337" si="159">IF(AF312="","",AF312/J312)</f>
        <v>3.3457249070631967E-2</v>
      </c>
      <c r="AH312" s="408">
        <f>IF(AF312="","",AF312+AD312)</f>
        <v>52</v>
      </c>
      <c r="AI312" s="404">
        <f t="shared" ref="AI312:AI337" si="160">IF(AH312="","",AH312/E312)</f>
        <v>0.23008849557522124</v>
      </c>
      <c r="AJ312" s="403">
        <f>IF(L312=0,"",IF(K312=0,"",L312-K312))</f>
        <v>9</v>
      </c>
      <c r="AK312" s="405">
        <f t="shared" ref="AK312:AK337" si="161">IF(AJ312="","",AJ312/K312)</f>
        <v>3.237410071942446E-2</v>
      </c>
      <c r="AL312" s="406">
        <f>IF(AJ312="","",AJ312+AH312)</f>
        <v>61</v>
      </c>
      <c r="AM312" s="404">
        <f t="shared" ref="AM312:AM337" si="162">IF(AL312="","",AL312/E312)</f>
        <v>0.26991150442477874</v>
      </c>
      <c r="AN312" s="38"/>
    </row>
    <row r="313" spans="1:40" ht="12.75" x14ac:dyDescent="0.2">
      <c r="A313" s="124"/>
      <c r="B313" s="38"/>
      <c r="C313" s="799" t="s">
        <v>958</v>
      </c>
      <c r="D313" s="800"/>
      <c r="E313" s="415">
        <v>294</v>
      </c>
      <c r="F313" s="415">
        <v>306</v>
      </c>
      <c r="G313" s="415">
        <v>321</v>
      </c>
      <c r="H313" s="415">
        <v>331</v>
      </c>
      <c r="I313" s="415">
        <v>341</v>
      </c>
      <c r="J313" s="415">
        <v>352</v>
      </c>
      <c r="K313" s="415">
        <v>363</v>
      </c>
      <c r="L313" s="415">
        <v>374</v>
      </c>
      <c r="M313" s="45"/>
      <c r="N313" s="403">
        <f t="shared" si="148"/>
        <v>12</v>
      </c>
      <c r="O313" s="404">
        <f t="shared" si="149"/>
        <v>4.0816326530612242E-2</v>
      </c>
      <c r="P313" s="403">
        <f>IF(G313=0,"",IF(F313=0,"",G313-F313))</f>
        <v>15</v>
      </c>
      <c r="Q313" s="405">
        <f t="shared" si="150"/>
        <v>4.9019607843137254E-2</v>
      </c>
      <c r="R313" s="406">
        <f>IF(P313="","",P313+N313)</f>
        <v>27</v>
      </c>
      <c r="S313" s="404">
        <f t="shared" si="151"/>
        <v>9.1836734693877556E-2</v>
      </c>
      <c r="T313" s="403">
        <f>IF(H313=0,"",IF(G313=0,"",H313-G313))</f>
        <v>10</v>
      </c>
      <c r="U313" s="405">
        <f t="shared" si="152"/>
        <v>3.1152647975077882E-2</v>
      </c>
      <c r="V313" s="406">
        <f>IF(T313="","",T313+R313)</f>
        <v>37</v>
      </c>
      <c r="W313" s="404">
        <f t="shared" si="153"/>
        <v>0.12585034013605442</v>
      </c>
      <c r="X313" s="403">
        <f>IF(I313=0,"",IF(H313=0,"",I313-H313))</f>
        <v>10</v>
      </c>
      <c r="Y313" s="407">
        <f t="shared" si="154"/>
        <v>3.0211480362537766E-2</v>
      </c>
      <c r="Z313" s="408">
        <f>IF(X313="","",X313+V313)</f>
        <v>47</v>
      </c>
      <c r="AA313" s="404">
        <f t="shared" si="155"/>
        <v>0.1598639455782313</v>
      </c>
      <c r="AB313" s="403">
        <f>IF(J313=0,"",IF(I313=0,"",J313-I313))</f>
        <v>11</v>
      </c>
      <c r="AC313" s="405">
        <f t="shared" si="156"/>
        <v>3.2258064516129031E-2</v>
      </c>
      <c r="AD313" s="406">
        <f t="shared" si="157"/>
        <v>58</v>
      </c>
      <c r="AE313" s="404">
        <f t="shared" si="158"/>
        <v>0.19727891156462585</v>
      </c>
      <c r="AF313" s="403">
        <f>IF(K313=0,"",IF(J313=0,"",K313-J313))</f>
        <v>11</v>
      </c>
      <c r="AG313" s="407">
        <f t="shared" si="159"/>
        <v>3.125E-2</v>
      </c>
      <c r="AH313" s="408">
        <f>IF(AF313="","",AF313+AD313)</f>
        <v>69</v>
      </c>
      <c r="AI313" s="404">
        <f t="shared" si="160"/>
        <v>0.23469387755102042</v>
      </c>
      <c r="AJ313" s="403">
        <f>IF(L313=0,"",IF(K313=0,"",L313-K313))</f>
        <v>11</v>
      </c>
      <c r="AK313" s="405">
        <f t="shared" si="161"/>
        <v>3.0303030303030304E-2</v>
      </c>
      <c r="AL313" s="406">
        <f>IF(AJ313="","",AJ313+AH313)</f>
        <v>80</v>
      </c>
      <c r="AM313" s="404">
        <f t="shared" si="162"/>
        <v>0.27210884353741499</v>
      </c>
      <c r="AN313" s="38"/>
    </row>
    <row r="314" spans="1:40" ht="12.75" x14ac:dyDescent="0.2">
      <c r="A314" s="124"/>
      <c r="B314" s="38"/>
      <c r="C314" s="799" t="s">
        <v>959</v>
      </c>
      <c r="D314" s="800"/>
      <c r="E314" s="415">
        <v>510</v>
      </c>
      <c r="F314" s="415">
        <v>534</v>
      </c>
      <c r="G314" s="415">
        <v>560</v>
      </c>
      <c r="H314" s="415">
        <v>577</v>
      </c>
      <c r="I314" s="415">
        <v>595</v>
      </c>
      <c r="J314" s="415">
        <v>613</v>
      </c>
      <c r="K314" s="415">
        <v>632</v>
      </c>
      <c r="L314" s="415">
        <v>651</v>
      </c>
      <c r="M314" s="45"/>
      <c r="N314" s="403">
        <f t="shared" si="148"/>
        <v>24</v>
      </c>
      <c r="O314" s="404">
        <f t="shared" si="149"/>
        <v>4.7058823529411764E-2</v>
      </c>
      <c r="P314" s="403">
        <f t="shared" ref="P314:P337" si="163">IF(G314=0,"",IF(F314=0,"",G314-F314))</f>
        <v>26</v>
      </c>
      <c r="Q314" s="405">
        <f t="shared" si="150"/>
        <v>4.8689138576779027E-2</v>
      </c>
      <c r="R314" s="406">
        <f t="shared" ref="R314:R337" si="164">IF(P314="","",P314+N314)</f>
        <v>50</v>
      </c>
      <c r="S314" s="404">
        <f t="shared" si="151"/>
        <v>9.8039215686274508E-2</v>
      </c>
      <c r="T314" s="403">
        <f t="shared" ref="T314:T337" si="165">IF(H314=0,"",IF(G314=0,"",H314-G314))</f>
        <v>17</v>
      </c>
      <c r="U314" s="405">
        <f t="shared" si="152"/>
        <v>3.0357142857142857E-2</v>
      </c>
      <c r="V314" s="406">
        <f t="shared" ref="V314:V337" si="166">IF(T314="","",T314+R314)</f>
        <v>67</v>
      </c>
      <c r="W314" s="404">
        <f t="shared" si="153"/>
        <v>0.13137254901960785</v>
      </c>
      <c r="X314" s="403">
        <f t="shared" ref="X314:X337" si="167">IF(I314=0,"",IF(H314=0,"",I314-H314))</f>
        <v>18</v>
      </c>
      <c r="Y314" s="407">
        <f t="shared" si="154"/>
        <v>3.1195840554592721E-2</v>
      </c>
      <c r="Z314" s="408">
        <f t="shared" ref="Z314:Z337" si="168">IF(X314="","",X314+V314)</f>
        <v>85</v>
      </c>
      <c r="AA314" s="404">
        <f t="shared" si="155"/>
        <v>0.16666666666666666</v>
      </c>
      <c r="AB314" s="403">
        <f t="shared" ref="AB314:AB337" si="169">IF(J314=0,"",IF(I314=0,"",J314-I314))</f>
        <v>18</v>
      </c>
      <c r="AC314" s="405">
        <f t="shared" si="156"/>
        <v>3.0252100840336135E-2</v>
      </c>
      <c r="AD314" s="406">
        <f t="shared" si="157"/>
        <v>103</v>
      </c>
      <c r="AE314" s="404">
        <f t="shared" si="158"/>
        <v>0.20196078431372549</v>
      </c>
      <c r="AF314" s="403">
        <f t="shared" ref="AF314:AF337" si="170">IF(K314=0,"",IF(J314=0,"",K314-J314))</f>
        <v>19</v>
      </c>
      <c r="AG314" s="407">
        <f t="shared" si="159"/>
        <v>3.0995106035889071E-2</v>
      </c>
      <c r="AH314" s="408">
        <f t="shared" ref="AH314:AH337" si="171">IF(AF314="","",AF314+AD314)</f>
        <v>122</v>
      </c>
      <c r="AI314" s="404">
        <f t="shared" si="160"/>
        <v>0.23921568627450981</v>
      </c>
      <c r="AJ314" s="403">
        <f t="shared" ref="AJ314:AJ337" si="172">IF(L314=0,"",IF(K314=0,"",L314-K314))</f>
        <v>19</v>
      </c>
      <c r="AK314" s="405">
        <f t="shared" si="161"/>
        <v>3.0063291139240507E-2</v>
      </c>
      <c r="AL314" s="406">
        <f t="shared" ref="AL314:AL337" si="173">IF(AJ314="","",AJ314+AH314)</f>
        <v>141</v>
      </c>
      <c r="AM314" s="404">
        <f t="shared" si="162"/>
        <v>0.27647058823529413</v>
      </c>
      <c r="AN314" s="38"/>
    </row>
    <row r="315" spans="1:40" ht="12.75" x14ac:dyDescent="0.2">
      <c r="A315" s="124"/>
      <c r="B315" s="38"/>
      <c r="C315" s="799"/>
      <c r="D315" s="800"/>
      <c r="E315" s="415"/>
      <c r="F315" s="415"/>
      <c r="G315" s="415"/>
      <c r="H315" s="415"/>
      <c r="I315" s="415"/>
      <c r="J315" s="415"/>
      <c r="K315" s="415"/>
      <c r="L315" s="415"/>
      <c r="M315" s="45"/>
      <c r="N315" s="403" t="str">
        <f t="shared" si="148"/>
        <v/>
      </c>
      <c r="O315" s="404" t="str">
        <f t="shared" si="149"/>
        <v/>
      </c>
      <c r="P315" s="403" t="str">
        <f t="shared" si="163"/>
        <v/>
      </c>
      <c r="Q315" s="405" t="str">
        <f t="shared" si="150"/>
        <v/>
      </c>
      <c r="R315" s="406" t="str">
        <f t="shared" si="164"/>
        <v/>
      </c>
      <c r="S315" s="404" t="str">
        <f t="shared" si="151"/>
        <v/>
      </c>
      <c r="T315" s="403" t="str">
        <f t="shared" si="165"/>
        <v/>
      </c>
      <c r="U315" s="405" t="str">
        <f t="shared" si="152"/>
        <v/>
      </c>
      <c r="V315" s="406" t="str">
        <f t="shared" si="166"/>
        <v/>
      </c>
      <c r="W315" s="404" t="str">
        <f t="shared" si="153"/>
        <v/>
      </c>
      <c r="X315" s="403" t="str">
        <f t="shared" si="167"/>
        <v/>
      </c>
      <c r="Y315" s="407" t="str">
        <f t="shared" si="154"/>
        <v/>
      </c>
      <c r="Z315" s="408" t="str">
        <f t="shared" si="168"/>
        <v/>
      </c>
      <c r="AA315" s="404" t="str">
        <f t="shared" si="155"/>
        <v/>
      </c>
      <c r="AB315" s="403" t="str">
        <f t="shared" si="169"/>
        <v/>
      </c>
      <c r="AC315" s="405" t="str">
        <f t="shared" si="156"/>
        <v/>
      </c>
      <c r="AD315" s="406" t="str">
        <f t="shared" si="157"/>
        <v/>
      </c>
      <c r="AE315" s="404" t="str">
        <f t="shared" si="158"/>
        <v/>
      </c>
      <c r="AF315" s="403" t="str">
        <f t="shared" si="170"/>
        <v/>
      </c>
      <c r="AG315" s="407" t="str">
        <f t="shared" si="159"/>
        <v/>
      </c>
      <c r="AH315" s="408" t="str">
        <f t="shared" si="171"/>
        <v/>
      </c>
      <c r="AI315" s="404" t="str">
        <f t="shared" si="160"/>
        <v/>
      </c>
      <c r="AJ315" s="403" t="str">
        <f t="shared" si="172"/>
        <v/>
      </c>
      <c r="AK315" s="405" t="str">
        <f t="shared" si="161"/>
        <v/>
      </c>
      <c r="AL315" s="406" t="str">
        <f t="shared" si="173"/>
        <v/>
      </c>
      <c r="AM315" s="404" t="str">
        <f t="shared" si="162"/>
        <v/>
      </c>
      <c r="AN315" s="38"/>
    </row>
    <row r="316" spans="1:40" ht="12.75" x14ac:dyDescent="0.2">
      <c r="A316" s="124"/>
      <c r="B316" s="38"/>
      <c r="C316" s="799"/>
      <c r="D316" s="800"/>
      <c r="E316" s="415"/>
      <c r="F316" s="415"/>
      <c r="G316" s="415"/>
      <c r="H316" s="415"/>
      <c r="I316" s="415"/>
      <c r="J316" s="415"/>
      <c r="K316" s="415"/>
      <c r="L316" s="415"/>
      <c r="M316" s="45"/>
      <c r="N316" s="403" t="str">
        <f t="shared" si="148"/>
        <v/>
      </c>
      <c r="O316" s="404" t="str">
        <f t="shared" si="149"/>
        <v/>
      </c>
      <c r="P316" s="403" t="str">
        <f t="shared" si="163"/>
        <v/>
      </c>
      <c r="Q316" s="405" t="str">
        <f t="shared" si="150"/>
        <v/>
      </c>
      <c r="R316" s="406" t="str">
        <f t="shared" si="164"/>
        <v/>
      </c>
      <c r="S316" s="404" t="str">
        <f t="shared" si="151"/>
        <v/>
      </c>
      <c r="T316" s="403" t="str">
        <f t="shared" si="165"/>
        <v/>
      </c>
      <c r="U316" s="405" t="str">
        <f t="shared" si="152"/>
        <v/>
      </c>
      <c r="V316" s="406" t="str">
        <f t="shared" si="166"/>
        <v/>
      </c>
      <c r="W316" s="404" t="str">
        <f t="shared" si="153"/>
        <v/>
      </c>
      <c r="X316" s="403" t="str">
        <f t="shared" si="167"/>
        <v/>
      </c>
      <c r="Y316" s="407" t="str">
        <f t="shared" si="154"/>
        <v/>
      </c>
      <c r="Z316" s="408" t="str">
        <f t="shared" si="168"/>
        <v/>
      </c>
      <c r="AA316" s="404" t="str">
        <f t="shared" si="155"/>
        <v/>
      </c>
      <c r="AB316" s="403" t="str">
        <f t="shared" si="169"/>
        <v/>
      </c>
      <c r="AC316" s="405" t="str">
        <f t="shared" si="156"/>
        <v/>
      </c>
      <c r="AD316" s="406" t="str">
        <f t="shared" si="157"/>
        <v/>
      </c>
      <c r="AE316" s="404" t="str">
        <f t="shared" si="158"/>
        <v/>
      </c>
      <c r="AF316" s="403" t="str">
        <f t="shared" si="170"/>
        <v/>
      </c>
      <c r="AG316" s="407" t="str">
        <f t="shared" si="159"/>
        <v/>
      </c>
      <c r="AH316" s="408" t="str">
        <f t="shared" si="171"/>
        <v/>
      </c>
      <c r="AI316" s="404" t="str">
        <f t="shared" si="160"/>
        <v/>
      </c>
      <c r="AJ316" s="403" t="str">
        <f t="shared" si="172"/>
        <v/>
      </c>
      <c r="AK316" s="405" t="str">
        <f t="shared" si="161"/>
        <v/>
      </c>
      <c r="AL316" s="406" t="str">
        <f t="shared" si="173"/>
        <v/>
      </c>
      <c r="AM316" s="404" t="str">
        <f t="shared" si="162"/>
        <v/>
      </c>
      <c r="AN316" s="38"/>
    </row>
    <row r="317" spans="1:40" ht="12.75" x14ac:dyDescent="0.2">
      <c r="A317" s="124"/>
      <c r="B317" s="38"/>
      <c r="C317" s="799"/>
      <c r="D317" s="800"/>
      <c r="E317" s="415"/>
      <c r="F317" s="415"/>
      <c r="G317" s="415"/>
      <c r="H317" s="415"/>
      <c r="I317" s="415"/>
      <c r="J317" s="415"/>
      <c r="K317" s="415"/>
      <c r="L317" s="416"/>
      <c r="M317" s="45"/>
      <c r="N317" s="403" t="str">
        <f t="shared" si="148"/>
        <v/>
      </c>
      <c r="O317" s="404" t="str">
        <f t="shared" si="149"/>
        <v/>
      </c>
      <c r="P317" s="403" t="str">
        <f t="shared" si="163"/>
        <v/>
      </c>
      <c r="Q317" s="405" t="str">
        <f t="shared" si="150"/>
        <v/>
      </c>
      <c r="R317" s="406" t="str">
        <f t="shared" si="164"/>
        <v/>
      </c>
      <c r="S317" s="404" t="str">
        <f t="shared" si="151"/>
        <v/>
      </c>
      <c r="T317" s="403" t="str">
        <f t="shared" si="165"/>
        <v/>
      </c>
      <c r="U317" s="405" t="str">
        <f t="shared" si="152"/>
        <v/>
      </c>
      <c r="V317" s="406" t="str">
        <f t="shared" si="166"/>
        <v/>
      </c>
      <c r="W317" s="404" t="str">
        <f t="shared" si="153"/>
        <v/>
      </c>
      <c r="X317" s="403" t="str">
        <f t="shared" si="167"/>
        <v/>
      </c>
      <c r="Y317" s="407" t="str">
        <f t="shared" si="154"/>
        <v/>
      </c>
      <c r="Z317" s="408" t="str">
        <f t="shared" si="168"/>
        <v/>
      </c>
      <c r="AA317" s="404" t="str">
        <f t="shared" si="155"/>
        <v/>
      </c>
      <c r="AB317" s="403" t="str">
        <f t="shared" si="169"/>
        <v/>
      </c>
      <c r="AC317" s="405" t="str">
        <f t="shared" si="156"/>
        <v/>
      </c>
      <c r="AD317" s="406" t="str">
        <f t="shared" si="157"/>
        <v/>
      </c>
      <c r="AE317" s="404" t="str">
        <f t="shared" si="158"/>
        <v/>
      </c>
      <c r="AF317" s="403" t="str">
        <f t="shared" si="170"/>
        <v/>
      </c>
      <c r="AG317" s="407" t="str">
        <f t="shared" si="159"/>
        <v/>
      </c>
      <c r="AH317" s="408" t="str">
        <f t="shared" si="171"/>
        <v/>
      </c>
      <c r="AI317" s="404" t="str">
        <f t="shared" si="160"/>
        <v/>
      </c>
      <c r="AJ317" s="403" t="str">
        <f t="shared" si="172"/>
        <v/>
      </c>
      <c r="AK317" s="405" t="str">
        <f t="shared" si="161"/>
        <v/>
      </c>
      <c r="AL317" s="406" t="str">
        <f t="shared" si="173"/>
        <v/>
      </c>
      <c r="AM317" s="404" t="str">
        <f t="shared" si="162"/>
        <v/>
      </c>
      <c r="AN317" s="38"/>
    </row>
    <row r="318" spans="1:40" ht="12.75" x14ac:dyDescent="0.2">
      <c r="A318" s="124"/>
      <c r="B318" s="38"/>
      <c r="C318" s="799"/>
      <c r="D318" s="800"/>
      <c r="E318" s="415"/>
      <c r="F318" s="415"/>
      <c r="G318" s="415"/>
      <c r="H318" s="415"/>
      <c r="I318" s="415"/>
      <c r="J318" s="415"/>
      <c r="K318" s="415"/>
      <c r="L318" s="416"/>
      <c r="M318" s="45"/>
      <c r="N318" s="403" t="str">
        <f t="shared" si="148"/>
        <v/>
      </c>
      <c r="O318" s="404" t="str">
        <f t="shared" si="149"/>
        <v/>
      </c>
      <c r="P318" s="403" t="str">
        <f t="shared" si="163"/>
        <v/>
      </c>
      <c r="Q318" s="405" t="str">
        <f t="shared" si="150"/>
        <v/>
      </c>
      <c r="R318" s="406" t="str">
        <f t="shared" si="164"/>
        <v/>
      </c>
      <c r="S318" s="404" t="str">
        <f t="shared" si="151"/>
        <v/>
      </c>
      <c r="T318" s="403" t="str">
        <f t="shared" si="165"/>
        <v/>
      </c>
      <c r="U318" s="405" t="str">
        <f t="shared" si="152"/>
        <v/>
      </c>
      <c r="V318" s="406" t="str">
        <f t="shared" si="166"/>
        <v/>
      </c>
      <c r="W318" s="404" t="str">
        <f t="shared" si="153"/>
        <v/>
      </c>
      <c r="X318" s="403" t="str">
        <f t="shared" si="167"/>
        <v/>
      </c>
      <c r="Y318" s="407" t="str">
        <f t="shared" si="154"/>
        <v/>
      </c>
      <c r="Z318" s="408" t="str">
        <f t="shared" si="168"/>
        <v/>
      </c>
      <c r="AA318" s="404" t="str">
        <f t="shared" si="155"/>
        <v/>
      </c>
      <c r="AB318" s="403" t="str">
        <f t="shared" si="169"/>
        <v/>
      </c>
      <c r="AC318" s="405" t="str">
        <f t="shared" si="156"/>
        <v/>
      </c>
      <c r="AD318" s="406" t="str">
        <f t="shared" si="157"/>
        <v/>
      </c>
      <c r="AE318" s="404" t="str">
        <f t="shared" si="158"/>
        <v/>
      </c>
      <c r="AF318" s="403" t="str">
        <f t="shared" si="170"/>
        <v/>
      </c>
      <c r="AG318" s="407" t="str">
        <f t="shared" si="159"/>
        <v/>
      </c>
      <c r="AH318" s="408" t="str">
        <f t="shared" si="171"/>
        <v/>
      </c>
      <c r="AI318" s="404" t="str">
        <f t="shared" si="160"/>
        <v/>
      </c>
      <c r="AJ318" s="403" t="str">
        <f t="shared" si="172"/>
        <v/>
      </c>
      <c r="AK318" s="405" t="str">
        <f t="shared" si="161"/>
        <v/>
      </c>
      <c r="AL318" s="406" t="str">
        <f t="shared" si="173"/>
        <v/>
      </c>
      <c r="AM318" s="404" t="str">
        <f t="shared" si="162"/>
        <v/>
      </c>
      <c r="AN318" s="38"/>
    </row>
    <row r="319" spans="1:40" ht="12.75" x14ac:dyDescent="0.2">
      <c r="A319" s="124"/>
      <c r="B319" s="38"/>
      <c r="C319" s="799"/>
      <c r="D319" s="800"/>
      <c r="E319" s="415"/>
      <c r="F319" s="415"/>
      <c r="G319" s="415"/>
      <c r="H319" s="415"/>
      <c r="I319" s="415"/>
      <c r="J319" s="415"/>
      <c r="K319" s="415"/>
      <c r="L319" s="416"/>
      <c r="M319" s="45"/>
      <c r="N319" s="403" t="str">
        <f t="shared" si="148"/>
        <v/>
      </c>
      <c r="O319" s="404" t="str">
        <f t="shared" si="149"/>
        <v/>
      </c>
      <c r="P319" s="403" t="str">
        <f t="shared" si="163"/>
        <v/>
      </c>
      <c r="Q319" s="405" t="str">
        <f t="shared" si="150"/>
        <v/>
      </c>
      <c r="R319" s="406" t="str">
        <f t="shared" si="164"/>
        <v/>
      </c>
      <c r="S319" s="404" t="str">
        <f t="shared" si="151"/>
        <v/>
      </c>
      <c r="T319" s="403" t="str">
        <f t="shared" si="165"/>
        <v/>
      </c>
      <c r="U319" s="405" t="str">
        <f t="shared" si="152"/>
        <v/>
      </c>
      <c r="V319" s="406" t="str">
        <f t="shared" si="166"/>
        <v/>
      </c>
      <c r="W319" s="404" t="str">
        <f t="shared" si="153"/>
        <v/>
      </c>
      <c r="X319" s="403" t="str">
        <f t="shared" si="167"/>
        <v/>
      </c>
      <c r="Y319" s="407" t="str">
        <f t="shared" si="154"/>
        <v/>
      </c>
      <c r="Z319" s="408" t="str">
        <f t="shared" si="168"/>
        <v/>
      </c>
      <c r="AA319" s="404" t="str">
        <f t="shared" si="155"/>
        <v/>
      </c>
      <c r="AB319" s="403" t="str">
        <f t="shared" si="169"/>
        <v/>
      </c>
      <c r="AC319" s="405" t="str">
        <f t="shared" si="156"/>
        <v/>
      </c>
      <c r="AD319" s="406" t="str">
        <f t="shared" si="157"/>
        <v/>
      </c>
      <c r="AE319" s="404" t="str">
        <f t="shared" si="158"/>
        <v/>
      </c>
      <c r="AF319" s="403" t="str">
        <f t="shared" si="170"/>
        <v/>
      </c>
      <c r="AG319" s="407" t="str">
        <f t="shared" si="159"/>
        <v/>
      </c>
      <c r="AH319" s="408" t="str">
        <f t="shared" si="171"/>
        <v/>
      </c>
      <c r="AI319" s="404" t="str">
        <f t="shared" si="160"/>
        <v/>
      </c>
      <c r="AJ319" s="403" t="str">
        <f t="shared" si="172"/>
        <v/>
      </c>
      <c r="AK319" s="405" t="str">
        <f t="shared" si="161"/>
        <v/>
      </c>
      <c r="AL319" s="406" t="str">
        <f t="shared" si="173"/>
        <v/>
      </c>
      <c r="AM319" s="404" t="str">
        <f t="shared" si="162"/>
        <v/>
      </c>
      <c r="AN319" s="38"/>
    </row>
    <row r="320" spans="1:40" ht="12.75" x14ac:dyDescent="0.2">
      <c r="A320" s="124"/>
      <c r="B320" s="38"/>
      <c r="C320" s="799"/>
      <c r="D320" s="800"/>
      <c r="E320" s="415"/>
      <c r="F320" s="415"/>
      <c r="G320" s="415"/>
      <c r="H320" s="415"/>
      <c r="I320" s="415"/>
      <c r="J320" s="415"/>
      <c r="K320" s="415"/>
      <c r="L320" s="416"/>
      <c r="M320" s="45"/>
      <c r="N320" s="403" t="str">
        <f t="shared" si="148"/>
        <v/>
      </c>
      <c r="O320" s="404" t="str">
        <f t="shared" si="149"/>
        <v/>
      </c>
      <c r="P320" s="403" t="str">
        <f t="shared" si="163"/>
        <v/>
      </c>
      <c r="Q320" s="405" t="str">
        <f t="shared" si="150"/>
        <v/>
      </c>
      <c r="R320" s="406" t="str">
        <f t="shared" si="164"/>
        <v/>
      </c>
      <c r="S320" s="404" t="str">
        <f t="shared" si="151"/>
        <v/>
      </c>
      <c r="T320" s="403" t="str">
        <f t="shared" si="165"/>
        <v/>
      </c>
      <c r="U320" s="405" t="str">
        <f t="shared" si="152"/>
        <v/>
      </c>
      <c r="V320" s="406" t="str">
        <f t="shared" si="166"/>
        <v/>
      </c>
      <c r="W320" s="404" t="str">
        <f t="shared" si="153"/>
        <v/>
      </c>
      <c r="X320" s="403" t="str">
        <f t="shared" si="167"/>
        <v/>
      </c>
      <c r="Y320" s="407" t="str">
        <f t="shared" si="154"/>
        <v/>
      </c>
      <c r="Z320" s="408" t="str">
        <f t="shared" si="168"/>
        <v/>
      </c>
      <c r="AA320" s="404" t="str">
        <f t="shared" si="155"/>
        <v/>
      </c>
      <c r="AB320" s="403" t="str">
        <f t="shared" si="169"/>
        <v/>
      </c>
      <c r="AC320" s="405" t="str">
        <f t="shared" si="156"/>
        <v/>
      </c>
      <c r="AD320" s="406" t="str">
        <f t="shared" si="157"/>
        <v/>
      </c>
      <c r="AE320" s="404" t="str">
        <f t="shared" si="158"/>
        <v/>
      </c>
      <c r="AF320" s="403" t="str">
        <f t="shared" si="170"/>
        <v/>
      </c>
      <c r="AG320" s="407" t="str">
        <f t="shared" si="159"/>
        <v/>
      </c>
      <c r="AH320" s="408" t="str">
        <f t="shared" si="171"/>
        <v/>
      </c>
      <c r="AI320" s="404" t="str">
        <f t="shared" si="160"/>
        <v/>
      </c>
      <c r="AJ320" s="403" t="str">
        <f t="shared" si="172"/>
        <v/>
      </c>
      <c r="AK320" s="405" t="str">
        <f t="shared" si="161"/>
        <v/>
      </c>
      <c r="AL320" s="406" t="str">
        <f t="shared" si="173"/>
        <v/>
      </c>
      <c r="AM320" s="404" t="str">
        <f t="shared" si="162"/>
        <v/>
      </c>
      <c r="AN320" s="38"/>
    </row>
    <row r="321" spans="1:40" ht="12.75" x14ac:dyDescent="0.2">
      <c r="A321" s="124"/>
      <c r="B321" s="38"/>
      <c r="C321" s="799"/>
      <c r="D321" s="800"/>
      <c r="E321" s="415"/>
      <c r="F321" s="415"/>
      <c r="G321" s="415"/>
      <c r="H321" s="415"/>
      <c r="I321" s="415"/>
      <c r="J321" s="415"/>
      <c r="K321" s="415"/>
      <c r="L321" s="416"/>
      <c r="M321" s="45"/>
      <c r="N321" s="403" t="str">
        <f t="shared" si="148"/>
        <v/>
      </c>
      <c r="O321" s="404" t="str">
        <f t="shared" si="149"/>
        <v/>
      </c>
      <c r="P321" s="403" t="str">
        <f t="shared" si="163"/>
        <v/>
      </c>
      <c r="Q321" s="405" t="str">
        <f t="shared" si="150"/>
        <v/>
      </c>
      <c r="R321" s="406" t="str">
        <f t="shared" si="164"/>
        <v/>
      </c>
      <c r="S321" s="404" t="str">
        <f t="shared" si="151"/>
        <v/>
      </c>
      <c r="T321" s="403" t="str">
        <f t="shared" si="165"/>
        <v/>
      </c>
      <c r="U321" s="405" t="str">
        <f t="shared" si="152"/>
        <v/>
      </c>
      <c r="V321" s="406" t="str">
        <f t="shared" si="166"/>
        <v/>
      </c>
      <c r="W321" s="404" t="str">
        <f t="shared" si="153"/>
        <v/>
      </c>
      <c r="X321" s="403" t="str">
        <f t="shared" si="167"/>
        <v/>
      </c>
      <c r="Y321" s="407" t="str">
        <f t="shared" si="154"/>
        <v/>
      </c>
      <c r="Z321" s="408" t="str">
        <f t="shared" si="168"/>
        <v/>
      </c>
      <c r="AA321" s="404" t="str">
        <f t="shared" si="155"/>
        <v/>
      </c>
      <c r="AB321" s="403" t="str">
        <f t="shared" si="169"/>
        <v/>
      </c>
      <c r="AC321" s="405" t="str">
        <f t="shared" si="156"/>
        <v/>
      </c>
      <c r="AD321" s="406" t="str">
        <f t="shared" si="157"/>
        <v/>
      </c>
      <c r="AE321" s="404" t="str">
        <f t="shared" si="158"/>
        <v/>
      </c>
      <c r="AF321" s="403" t="str">
        <f t="shared" si="170"/>
        <v/>
      </c>
      <c r="AG321" s="407" t="str">
        <f t="shared" si="159"/>
        <v/>
      </c>
      <c r="AH321" s="408" t="str">
        <f t="shared" si="171"/>
        <v/>
      </c>
      <c r="AI321" s="404" t="str">
        <f t="shared" si="160"/>
        <v/>
      </c>
      <c r="AJ321" s="403" t="str">
        <f t="shared" si="172"/>
        <v/>
      </c>
      <c r="AK321" s="405" t="str">
        <f t="shared" si="161"/>
        <v/>
      </c>
      <c r="AL321" s="406" t="str">
        <f t="shared" si="173"/>
        <v/>
      </c>
      <c r="AM321" s="404" t="str">
        <f t="shared" si="162"/>
        <v/>
      </c>
      <c r="AN321" s="38"/>
    </row>
    <row r="322" spans="1:40" ht="12.75" x14ac:dyDescent="0.2">
      <c r="A322" s="124"/>
      <c r="B322" s="38"/>
      <c r="C322" s="799"/>
      <c r="D322" s="800"/>
      <c r="E322" s="415"/>
      <c r="F322" s="415"/>
      <c r="G322" s="415"/>
      <c r="H322" s="415"/>
      <c r="I322" s="415"/>
      <c r="J322" s="415"/>
      <c r="K322" s="415"/>
      <c r="L322" s="416"/>
      <c r="M322" s="45"/>
      <c r="N322" s="403" t="str">
        <f t="shared" si="148"/>
        <v/>
      </c>
      <c r="O322" s="404" t="str">
        <f t="shared" si="149"/>
        <v/>
      </c>
      <c r="P322" s="403" t="str">
        <f t="shared" si="163"/>
        <v/>
      </c>
      <c r="Q322" s="405" t="str">
        <f t="shared" si="150"/>
        <v/>
      </c>
      <c r="R322" s="406" t="str">
        <f t="shared" si="164"/>
        <v/>
      </c>
      <c r="S322" s="404" t="str">
        <f t="shared" si="151"/>
        <v/>
      </c>
      <c r="T322" s="403" t="str">
        <f t="shared" si="165"/>
        <v/>
      </c>
      <c r="U322" s="405" t="str">
        <f t="shared" si="152"/>
        <v/>
      </c>
      <c r="V322" s="406" t="str">
        <f t="shared" si="166"/>
        <v/>
      </c>
      <c r="W322" s="404" t="str">
        <f t="shared" si="153"/>
        <v/>
      </c>
      <c r="X322" s="403" t="str">
        <f t="shared" si="167"/>
        <v/>
      </c>
      <c r="Y322" s="407" t="str">
        <f t="shared" si="154"/>
        <v/>
      </c>
      <c r="Z322" s="408" t="str">
        <f t="shared" si="168"/>
        <v/>
      </c>
      <c r="AA322" s="404" t="str">
        <f t="shared" si="155"/>
        <v/>
      </c>
      <c r="AB322" s="403" t="str">
        <f t="shared" si="169"/>
        <v/>
      </c>
      <c r="AC322" s="405" t="str">
        <f t="shared" si="156"/>
        <v/>
      </c>
      <c r="AD322" s="406" t="str">
        <f t="shared" si="157"/>
        <v/>
      </c>
      <c r="AE322" s="404" t="str">
        <f t="shared" si="158"/>
        <v/>
      </c>
      <c r="AF322" s="403" t="str">
        <f t="shared" si="170"/>
        <v/>
      </c>
      <c r="AG322" s="407" t="str">
        <f t="shared" si="159"/>
        <v/>
      </c>
      <c r="AH322" s="408" t="str">
        <f t="shared" si="171"/>
        <v/>
      </c>
      <c r="AI322" s="404" t="str">
        <f t="shared" si="160"/>
        <v/>
      </c>
      <c r="AJ322" s="403" t="str">
        <f t="shared" si="172"/>
        <v/>
      </c>
      <c r="AK322" s="405" t="str">
        <f t="shared" si="161"/>
        <v/>
      </c>
      <c r="AL322" s="406" t="str">
        <f t="shared" si="173"/>
        <v/>
      </c>
      <c r="AM322" s="404" t="str">
        <f t="shared" si="162"/>
        <v/>
      </c>
      <c r="AN322" s="38"/>
    </row>
    <row r="323" spans="1:40" ht="12.75" x14ac:dyDescent="0.2">
      <c r="A323" s="124"/>
      <c r="B323" s="38"/>
      <c r="C323" s="799"/>
      <c r="D323" s="800"/>
      <c r="E323" s="415"/>
      <c r="F323" s="415"/>
      <c r="G323" s="415"/>
      <c r="H323" s="415"/>
      <c r="I323" s="415"/>
      <c r="J323" s="415"/>
      <c r="K323" s="415"/>
      <c r="L323" s="416"/>
      <c r="M323" s="45"/>
      <c r="N323" s="403" t="str">
        <f t="shared" si="148"/>
        <v/>
      </c>
      <c r="O323" s="404" t="str">
        <f t="shared" si="149"/>
        <v/>
      </c>
      <c r="P323" s="403" t="str">
        <f t="shared" si="163"/>
        <v/>
      </c>
      <c r="Q323" s="405" t="str">
        <f t="shared" si="150"/>
        <v/>
      </c>
      <c r="R323" s="406" t="str">
        <f t="shared" si="164"/>
        <v/>
      </c>
      <c r="S323" s="404" t="str">
        <f t="shared" si="151"/>
        <v/>
      </c>
      <c r="T323" s="403" t="str">
        <f t="shared" si="165"/>
        <v/>
      </c>
      <c r="U323" s="405" t="str">
        <f t="shared" si="152"/>
        <v/>
      </c>
      <c r="V323" s="406" t="str">
        <f t="shared" si="166"/>
        <v/>
      </c>
      <c r="W323" s="404" t="str">
        <f t="shared" si="153"/>
        <v/>
      </c>
      <c r="X323" s="403" t="str">
        <f t="shared" si="167"/>
        <v/>
      </c>
      <c r="Y323" s="407" t="str">
        <f t="shared" si="154"/>
        <v/>
      </c>
      <c r="Z323" s="408" t="str">
        <f t="shared" si="168"/>
        <v/>
      </c>
      <c r="AA323" s="404" t="str">
        <f t="shared" si="155"/>
        <v/>
      </c>
      <c r="AB323" s="403" t="str">
        <f t="shared" si="169"/>
        <v/>
      </c>
      <c r="AC323" s="405" t="str">
        <f t="shared" si="156"/>
        <v/>
      </c>
      <c r="AD323" s="406" t="str">
        <f t="shared" si="157"/>
        <v/>
      </c>
      <c r="AE323" s="404" t="str">
        <f t="shared" si="158"/>
        <v/>
      </c>
      <c r="AF323" s="403" t="str">
        <f t="shared" si="170"/>
        <v/>
      </c>
      <c r="AG323" s="407" t="str">
        <f t="shared" si="159"/>
        <v/>
      </c>
      <c r="AH323" s="408" t="str">
        <f t="shared" si="171"/>
        <v/>
      </c>
      <c r="AI323" s="404" t="str">
        <f t="shared" si="160"/>
        <v/>
      </c>
      <c r="AJ323" s="403" t="str">
        <f t="shared" si="172"/>
        <v/>
      </c>
      <c r="AK323" s="405" t="str">
        <f t="shared" si="161"/>
        <v/>
      </c>
      <c r="AL323" s="406" t="str">
        <f t="shared" si="173"/>
        <v/>
      </c>
      <c r="AM323" s="404" t="str">
        <f t="shared" si="162"/>
        <v/>
      </c>
      <c r="AN323" s="38"/>
    </row>
    <row r="324" spans="1:40" ht="12.75" x14ac:dyDescent="0.2">
      <c r="A324" s="124"/>
      <c r="B324" s="38"/>
      <c r="C324" s="799"/>
      <c r="D324" s="800"/>
      <c r="E324" s="415"/>
      <c r="F324" s="415"/>
      <c r="G324" s="415"/>
      <c r="H324" s="415"/>
      <c r="I324" s="415"/>
      <c r="J324" s="415"/>
      <c r="K324" s="415"/>
      <c r="L324" s="416"/>
      <c r="M324" s="45"/>
      <c r="N324" s="403" t="str">
        <f t="shared" si="148"/>
        <v/>
      </c>
      <c r="O324" s="404" t="str">
        <f t="shared" si="149"/>
        <v/>
      </c>
      <c r="P324" s="403" t="str">
        <f t="shared" si="163"/>
        <v/>
      </c>
      <c r="Q324" s="405" t="str">
        <f t="shared" si="150"/>
        <v/>
      </c>
      <c r="R324" s="406" t="str">
        <f t="shared" si="164"/>
        <v/>
      </c>
      <c r="S324" s="404" t="str">
        <f t="shared" si="151"/>
        <v/>
      </c>
      <c r="T324" s="403" t="str">
        <f t="shared" si="165"/>
        <v/>
      </c>
      <c r="U324" s="405" t="str">
        <f t="shared" si="152"/>
        <v/>
      </c>
      <c r="V324" s="406" t="str">
        <f t="shared" si="166"/>
        <v/>
      </c>
      <c r="W324" s="404" t="str">
        <f t="shared" si="153"/>
        <v/>
      </c>
      <c r="X324" s="403" t="str">
        <f t="shared" si="167"/>
        <v/>
      </c>
      <c r="Y324" s="407" t="str">
        <f t="shared" si="154"/>
        <v/>
      </c>
      <c r="Z324" s="408" t="str">
        <f t="shared" si="168"/>
        <v/>
      </c>
      <c r="AA324" s="404" t="str">
        <f t="shared" si="155"/>
        <v/>
      </c>
      <c r="AB324" s="403" t="str">
        <f t="shared" si="169"/>
        <v/>
      </c>
      <c r="AC324" s="405" t="str">
        <f t="shared" si="156"/>
        <v/>
      </c>
      <c r="AD324" s="406" t="str">
        <f t="shared" si="157"/>
        <v/>
      </c>
      <c r="AE324" s="404" t="str">
        <f t="shared" si="158"/>
        <v/>
      </c>
      <c r="AF324" s="403" t="str">
        <f t="shared" si="170"/>
        <v/>
      </c>
      <c r="AG324" s="407" t="str">
        <f t="shared" si="159"/>
        <v/>
      </c>
      <c r="AH324" s="408" t="str">
        <f t="shared" si="171"/>
        <v/>
      </c>
      <c r="AI324" s="404" t="str">
        <f t="shared" si="160"/>
        <v/>
      </c>
      <c r="AJ324" s="403" t="str">
        <f t="shared" si="172"/>
        <v/>
      </c>
      <c r="AK324" s="405" t="str">
        <f t="shared" si="161"/>
        <v/>
      </c>
      <c r="AL324" s="406" t="str">
        <f t="shared" si="173"/>
        <v/>
      </c>
      <c r="AM324" s="404" t="str">
        <f t="shared" si="162"/>
        <v/>
      </c>
      <c r="AN324" s="38"/>
    </row>
    <row r="325" spans="1:40" ht="12.75" x14ac:dyDescent="0.2">
      <c r="A325" s="124"/>
      <c r="B325" s="38"/>
      <c r="C325" s="799"/>
      <c r="D325" s="800"/>
      <c r="E325" s="415"/>
      <c r="F325" s="415"/>
      <c r="G325" s="415"/>
      <c r="H325" s="415"/>
      <c r="I325" s="415"/>
      <c r="J325" s="415"/>
      <c r="K325" s="415"/>
      <c r="L325" s="416"/>
      <c r="M325" s="45"/>
      <c r="N325" s="403" t="str">
        <f t="shared" si="148"/>
        <v/>
      </c>
      <c r="O325" s="404" t="str">
        <f t="shared" si="149"/>
        <v/>
      </c>
      <c r="P325" s="403" t="str">
        <f t="shared" si="163"/>
        <v/>
      </c>
      <c r="Q325" s="405" t="str">
        <f t="shared" si="150"/>
        <v/>
      </c>
      <c r="R325" s="406" t="str">
        <f t="shared" si="164"/>
        <v/>
      </c>
      <c r="S325" s="404" t="str">
        <f t="shared" si="151"/>
        <v/>
      </c>
      <c r="T325" s="403" t="str">
        <f t="shared" si="165"/>
        <v/>
      </c>
      <c r="U325" s="405" t="str">
        <f t="shared" si="152"/>
        <v/>
      </c>
      <c r="V325" s="406" t="str">
        <f t="shared" si="166"/>
        <v/>
      </c>
      <c r="W325" s="404" t="str">
        <f t="shared" si="153"/>
        <v/>
      </c>
      <c r="X325" s="403" t="str">
        <f t="shared" si="167"/>
        <v/>
      </c>
      <c r="Y325" s="407" t="str">
        <f t="shared" si="154"/>
        <v/>
      </c>
      <c r="Z325" s="408" t="str">
        <f t="shared" si="168"/>
        <v/>
      </c>
      <c r="AA325" s="404" t="str">
        <f t="shared" si="155"/>
        <v/>
      </c>
      <c r="AB325" s="403" t="str">
        <f t="shared" si="169"/>
        <v/>
      </c>
      <c r="AC325" s="405" t="str">
        <f t="shared" si="156"/>
        <v/>
      </c>
      <c r="AD325" s="406" t="str">
        <f t="shared" si="157"/>
        <v/>
      </c>
      <c r="AE325" s="404" t="str">
        <f t="shared" si="158"/>
        <v/>
      </c>
      <c r="AF325" s="403" t="str">
        <f t="shared" si="170"/>
        <v/>
      </c>
      <c r="AG325" s="407" t="str">
        <f t="shared" si="159"/>
        <v/>
      </c>
      <c r="AH325" s="408" t="str">
        <f t="shared" si="171"/>
        <v/>
      </c>
      <c r="AI325" s="404" t="str">
        <f t="shared" si="160"/>
        <v/>
      </c>
      <c r="AJ325" s="403" t="str">
        <f t="shared" si="172"/>
        <v/>
      </c>
      <c r="AK325" s="405" t="str">
        <f t="shared" si="161"/>
        <v/>
      </c>
      <c r="AL325" s="406" t="str">
        <f t="shared" si="173"/>
        <v/>
      </c>
      <c r="AM325" s="404" t="str">
        <f t="shared" si="162"/>
        <v/>
      </c>
      <c r="AN325" s="38"/>
    </row>
    <row r="326" spans="1:40" ht="12.75" x14ac:dyDescent="0.2">
      <c r="A326" s="124"/>
      <c r="B326" s="38"/>
      <c r="C326" s="799"/>
      <c r="D326" s="800"/>
      <c r="E326" s="415"/>
      <c r="F326" s="415"/>
      <c r="G326" s="415"/>
      <c r="H326" s="415"/>
      <c r="I326" s="415"/>
      <c r="J326" s="415"/>
      <c r="K326" s="415"/>
      <c r="L326" s="416"/>
      <c r="M326" s="45"/>
      <c r="N326" s="403" t="str">
        <f t="shared" si="148"/>
        <v/>
      </c>
      <c r="O326" s="404" t="str">
        <f t="shared" si="149"/>
        <v/>
      </c>
      <c r="P326" s="403" t="str">
        <f t="shared" si="163"/>
        <v/>
      </c>
      <c r="Q326" s="405" t="str">
        <f t="shared" si="150"/>
        <v/>
      </c>
      <c r="R326" s="406" t="str">
        <f t="shared" si="164"/>
        <v/>
      </c>
      <c r="S326" s="404" t="str">
        <f t="shared" si="151"/>
        <v/>
      </c>
      <c r="T326" s="403" t="str">
        <f t="shared" si="165"/>
        <v/>
      </c>
      <c r="U326" s="405" t="str">
        <f t="shared" si="152"/>
        <v/>
      </c>
      <c r="V326" s="406" t="str">
        <f t="shared" si="166"/>
        <v/>
      </c>
      <c r="W326" s="404" t="str">
        <f t="shared" si="153"/>
        <v/>
      </c>
      <c r="X326" s="403" t="str">
        <f t="shared" si="167"/>
        <v/>
      </c>
      <c r="Y326" s="407" t="str">
        <f t="shared" si="154"/>
        <v/>
      </c>
      <c r="Z326" s="408" t="str">
        <f t="shared" si="168"/>
        <v/>
      </c>
      <c r="AA326" s="404" t="str">
        <f t="shared" si="155"/>
        <v/>
      </c>
      <c r="AB326" s="403" t="str">
        <f t="shared" si="169"/>
        <v/>
      </c>
      <c r="AC326" s="405" t="str">
        <f t="shared" si="156"/>
        <v/>
      </c>
      <c r="AD326" s="406" t="str">
        <f t="shared" si="157"/>
        <v/>
      </c>
      <c r="AE326" s="404" t="str">
        <f t="shared" si="158"/>
        <v/>
      </c>
      <c r="AF326" s="403" t="str">
        <f t="shared" si="170"/>
        <v/>
      </c>
      <c r="AG326" s="407" t="str">
        <f t="shared" si="159"/>
        <v/>
      </c>
      <c r="AH326" s="408" t="str">
        <f t="shared" si="171"/>
        <v/>
      </c>
      <c r="AI326" s="404" t="str">
        <f t="shared" si="160"/>
        <v/>
      </c>
      <c r="AJ326" s="403" t="str">
        <f t="shared" si="172"/>
        <v/>
      </c>
      <c r="AK326" s="405" t="str">
        <f t="shared" si="161"/>
        <v/>
      </c>
      <c r="AL326" s="406" t="str">
        <f t="shared" si="173"/>
        <v/>
      </c>
      <c r="AM326" s="404" t="str">
        <f t="shared" si="162"/>
        <v/>
      </c>
      <c r="AN326" s="38"/>
    </row>
    <row r="327" spans="1:40" ht="12.75" x14ac:dyDescent="0.2">
      <c r="A327" s="124"/>
      <c r="B327" s="38"/>
      <c r="C327" s="799"/>
      <c r="D327" s="800"/>
      <c r="E327" s="421"/>
      <c r="F327" s="421"/>
      <c r="G327" s="421"/>
      <c r="H327" s="421"/>
      <c r="I327" s="421"/>
      <c r="J327" s="421"/>
      <c r="K327" s="421"/>
      <c r="L327" s="422"/>
      <c r="M327" s="45"/>
      <c r="N327" s="403" t="str">
        <f t="shared" si="148"/>
        <v/>
      </c>
      <c r="O327" s="404" t="str">
        <f t="shared" si="149"/>
        <v/>
      </c>
      <c r="P327" s="403" t="str">
        <f t="shared" si="163"/>
        <v/>
      </c>
      <c r="Q327" s="405" t="str">
        <f t="shared" si="150"/>
        <v/>
      </c>
      <c r="R327" s="406" t="str">
        <f t="shared" si="164"/>
        <v/>
      </c>
      <c r="S327" s="404" t="str">
        <f t="shared" si="151"/>
        <v/>
      </c>
      <c r="T327" s="403" t="str">
        <f t="shared" si="165"/>
        <v/>
      </c>
      <c r="U327" s="405" t="str">
        <f t="shared" si="152"/>
        <v/>
      </c>
      <c r="V327" s="406" t="str">
        <f t="shared" si="166"/>
        <v/>
      </c>
      <c r="W327" s="404" t="str">
        <f t="shared" si="153"/>
        <v/>
      </c>
      <c r="X327" s="403" t="str">
        <f t="shared" si="167"/>
        <v/>
      </c>
      <c r="Y327" s="407" t="str">
        <f t="shared" si="154"/>
        <v/>
      </c>
      <c r="Z327" s="408" t="str">
        <f t="shared" si="168"/>
        <v/>
      </c>
      <c r="AA327" s="404" t="str">
        <f t="shared" si="155"/>
        <v/>
      </c>
      <c r="AB327" s="403" t="str">
        <f t="shared" si="169"/>
        <v/>
      </c>
      <c r="AC327" s="405" t="str">
        <f t="shared" si="156"/>
        <v/>
      </c>
      <c r="AD327" s="406" t="str">
        <f t="shared" si="157"/>
        <v/>
      </c>
      <c r="AE327" s="404" t="str">
        <f t="shared" si="158"/>
        <v/>
      </c>
      <c r="AF327" s="403" t="str">
        <f t="shared" si="170"/>
        <v/>
      </c>
      <c r="AG327" s="407" t="str">
        <f t="shared" si="159"/>
        <v/>
      </c>
      <c r="AH327" s="408" t="str">
        <f t="shared" si="171"/>
        <v/>
      </c>
      <c r="AI327" s="404" t="str">
        <f t="shared" si="160"/>
        <v/>
      </c>
      <c r="AJ327" s="403" t="str">
        <f t="shared" si="172"/>
        <v/>
      </c>
      <c r="AK327" s="405" t="str">
        <f t="shared" si="161"/>
        <v/>
      </c>
      <c r="AL327" s="406" t="str">
        <f t="shared" si="173"/>
        <v/>
      </c>
      <c r="AM327" s="404" t="str">
        <f t="shared" si="162"/>
        <v/>
      </c>
      <c r="AN327" s="38"/>
    </row>
    <row r="328" spans="1:40" ht="12.75" x14ac:dyDescent="0.2">
      <c r="A328" s="124"/>
      <c r="B328" s="38"/>
      <c r="C328" s="799"/>
      <c r="D328" s="800"/>
      <c r="E328" s="415"/>
      <c r="F328" s="415"/>
      <c r="G328" s="415"/>
      <c r="H328" s="415"/>
      <c r="I328" s="415"/>
      <c r="J328" s="415"/>
      <c r="K328" s="415"/>
      <c r="L328" s="416"/>
      <c r="M328" s="38"/>
      <c r="N328" s="403" t="str">
        <f t="shared" si="148"/>
        <v/>
      </c>
      <c r="O328" s="404" t="str">
        <f t="shared" si="149"/>
        <v/>
      </c>
      <c r="P328" s="403" t="str">
        <f t="shared" si="163"/>
        <v/>
      </c>
      <c r="Q328" s="405" t="str">
        <f t="shared" si="150"/>
        <v/>
      </c>
      <c r="R328" s="406" t="str">
        <f t="shared" si="164"/>
        <v/>
      </c>
      <c r="S328" s="404" t="str">
        <f t="shared" si="151"/>
        <v/>
      </c>
      <c r="T328" s="403" t="str">
        <f t="shared" si="165"/>
        <v/>
      </c>
      <c r="U328" s="405" t="str">
        <f t="shared" si="152"/>
        <v/>
      </c>
      <c r="V328" s="406" t="str">
        <f t="shared" si="166"/>
        <v/>
      </c>
      <c r="W328" s="404" t="str">
        <f t="shared" si="153"/>
        <v/>
      </c>
      <c r="X328" s="403" t="str">
        <f t="shared" si="167"/>
        <v/>
      </c>
      <c r="Y328" s="407" t="str">
        <f t="shared" si="154"/>
        <v/>
      </c>
      <c r="Z328" s="408" t="str">
        <f t="shared" si="168"/>
        <v/>
      </c>
      <c r="AA328" s="404" t="str">
        <f t="shared" si="155"/>
        <v/>
      </c>
      <c r="AB328" s="403" t="str">
        <f t="shared" si="169"/>
        <v/>
      </c>
      <c r="AC328" s="405" t="str">
        <f t="shared" si="156"/>
        <v/>
      </c>
      <c r="AD328" s="406" t="str">
        <f t="shared" si="157"/>
        <v/>
      </c>
      <c r="AE328" s="404" t="str">
        <f t="shared" si="158"/>
        <v/>
      </c>
      <c r="AF328" s="403" t="str">
        <f t="shared" si="170"/>
        <v/>
      </c>
      <c r="AG328" s="407" t="str">
        <f t="shared" si="159"/>
        <v/>
      </c>
      <c r="AH328" s="408" t="str">
        <f t="shared" si="171"/>
        <v/>
      </c>
      <c r="AI328" s="404" t="str">
        <f t="shared" si="160"/>
        <v/>
      </c>
      <c r="AJ328" s="403" t="str">
        <f t="shared" si="172"/>
        <v/>
      </c>
      <c r="AK328" s="405" t="str">
        <f t="shared" si="161"/>
        <v/>
      </c>
      <c r="AL328" s="406" t="str">
        <f t="shared" si="173"/>
        <v/>
      </c>
      <c r="AM328" s="404" t="str">
        <f t="shared" si="162"/>
        <v/>
      </c>
      <c r="AN328" s="38"/>
    </row>
    <row r="329" spans="1:40" ht="12.75" x14ac:dyDescent="0.2">
      <c r="A329" s="124"/>
      <c r="B329" s="38"/>
      <c r="C329" s="799"/>
      <c r="D329" s="800"/>
      <c r="E329" s="415"/>
      <c r="F329" s="415"/>
      <c r="G329" s="415"/>
      <c r="H329" s="415"/>
      <c r="I329" s="415"/>
      <c r="J329" s="415"/>
      <c r="K329" s="415"/>
      <c r="L329" s="416"/>
      <c r="M329" s="38"/>
      <c r="N329" s="403" t="str">
        <f t="shared" si="148"/>
        <v/>
      </c>
      <c r="O329" s="404" t="str">
        <f t="shared" si="149"/>
        <v/>
      </c>
      <c r="P329" s="403" t="str">
        <f t="shared" si="163"/>
        <v/>
      </c>
      <c r="Q329" s="405" t="str">
        <f t="shared" si="150"/>
        <v/>
      </c>
      <c r="R329" s="406" t="str">
        <f t="shared" si="164"/>
        <v/>
      </c>
      <c r="S329" s="404" t="str">
        <f t="shared" si="151"/>
        <v/>
      </c>
      <c r="T329" s="403" t="str">
        <f t="shared" si="165"/>
        <v/>
      </c>
      <c r="U329" s="405" t="str">
        <f t="shared" si="152"/>
        <v/>
      </c>
      <c r="V329" s="406" t="str">
        <f t="shared" si="166"/>
        <v/>
      </c>
      <c r="W329" s="404" t="str">
        <f t="shared" si="153"/>
        <v/>
      </c>
      <c r="X329" s="403" t="str">
        <f t="shared" si="167"/>
        <v/>
      </c>
      <c r="Y329" s="407" t="str">
        <f t="shared" si="154"/>
        <v/>
      </c>
      <c r="Z329" s="408" t="str">
        <f t="shared" si="168"/>
        <v/>
      </c>
      <c r="AA329" s="404" t="str">
        <f t="shared" si="155"/>
        <v/>
      </c>
      <c r="AB329" s="403" t="str">
        <f t="shared" si="169"/>
        <v/>
      </c>
      <c r="AC329" s="405" t="str">
        <f t="shared" si="156"/>
        <v/>
      </c>
      <c r="AD329" s="406" t="str">
        <f t="shared" si="157"/>
        <v/>
      </c>
      <c r="AE329" s="404" t="str">
        <f t="shared" si="158"/>
        <v/>
      </c>
      <c r="AF329" s="403" t="str">
        <f t="shared" si="170"/>
        <v/>
      </c>
      <c r="AG329" s="407" t="str">
        <f t="shared" si="159"/>
        <v/>
      </c>
      <c r="AH329" s="408" t="str">
        <f t="shared" si="171"/>
        <v/>
      </c>
      <c r="AI329" s="404" t="str">
        <f t="shared" si="160"/>
        <v/>
      </c>
      <c r="AJ329" s="403" t="str">
        <f t="shared" si="172"/>
        <v/>
      </c>
      <c r="AK329" s="405" t="str">
        <f t="shared" si="161"/>
        <v/>
      </c>
      <c r="AL329" s="406" t="str">
        <f t="shared" si="173"/>
        <v/>
      </c>
      <c r="AM329" s="404" t="str">
        <f t="shared" si="162"/>
        <v/>
      </c>
      <c r="AN329" s="38"/>
    </row>
    <row r="330" spans="1:40" ht="12.75" x14ac:dyDescent="0.2">
      <c r="A330" s="124"/>
      <c r="B330" s="38"/>
      <c r="C330" s="799"/>
      <c r="D330" s="800"/>
      <c r="E330" s="415"/>
      <c r="F330" s="415"/>
      <c r="G330" s="415"/>
      <c r="H330" s="415"/>
      <c r="I330" s="415"/>
      <c r="J330" s="415"/>
      <c r="K330" s="415"/>
      <c r="L330" s="416"/>
      <c r="M330" s="38"/>
      <c r="N330" s="403" t="str">
        <f t="shared" si="148"/>
        <v/>
      </c>
      <c r="O330" s="404" t="str">
        <f t="shared" si="149"/>
        <v/>
      </c>
      <c r="P330" s="403" t="str">
        <f t="shared" si="163"/>
        <v/>
      </c>
      <c r="Q330" s="405" t="str">
        <f t="shared" si="150"/>
        <v/>
      </c>
      <c r="R330" s="406" t="str">
        <f t="shared" si="164"/>
        <v/>
      </c>
      <c r="S330" s="404" t="str">
        <f t="shared" si="151"/>
        <v/>
      </c>
      <c r="T330" s="403" t="str">
        <f t="shared" si="165"/>
        <v/>
      </c>
      <c r="U330" s="405" t="str">
        <f t="shared" si="152"/>
        <v/>
      </c>
      <c r="V330" s="406" t="str">
        <f t="shared" si="166"/>
        <v/>
      </c>
      <c r="W330" s="404" t="str">
        <f t="shared" si="153"/>
        <v/>
      </c>
      <c r="X330" s="403" t="str">
        <f t="shared" si="167"/>
        <v/>
      </c>
      <c r="Y330" s="407" t="str">
        <f t="shared" si="154"/>
        <v/>
      </c>
      <c r="Z330" s="408" t="str">
        <f t="shared" si="168"/>
        <v/>
      </c>
      <c r="AA330" s="404" t="str">
        <f t="shared" si="155"/>
        <v/>
      </c>
      <c r="AB330" s="403" t="str">
        <f t="shared" si="169"/>
        <v/>
      </c>
      <c r="AC330" s="405" t="str">
        <f t="shared" si="156"/>
        <v/>
      </c>
      <c r="AD330" s="406" t="str">
        <f t="shared" si="157"/>
        <v/>
      </c>
      <c r="AE330" s="404" t="str">
        <f t="shared" si="158"/>
        <v/>
      </c>
      <c r="AF330" s="403" t="str">
        <f t="shared" si="170"/>
        <v/>
      </c>
      <c r="AG330" s="407" t="str">
        <f t="shared" si="159"/>
        <v/>
      </c>
      <c r="AH330" s="408" t="str">
        <f t="shared" si="171"/>
        <v/>
      </c>
      <c r="AI330" s="404" t="str">
        <f t="shared" si="160"/>
        <v/>
      </c>
      <c r="AJ330" s="403" t="str">
        <f t="shared" si="172"/>
        <v/>
      </c>
      <c r="AK330" s="405" t="str">
        <f t="shared" si="161"/>
        <v/>
      </c>
      <c r="AL330" s="406" t="str">
        <f t="shared" si="173"/>
        <v/>
      </c>
      <c r="AM330" s="404" t="str">
        <f t="shared" si="162"/>
        <v/>
      </c>
      <c r="AN330" s="38"/>
    </row>
    <row r="331" spans="1:40" ht="12.75" x14ac:dyDescent="0.2">
      <c r="A331" s="124"/>
      <c r="B331" s="38"/>
      <c r="C331" s="799"/>
      <c r="D331" s="800"/>
      <c r="E331" s="415"/>
      <c r="F331" s="415"/>
      <c r="G331" s="415"/>
      <c r="H331" s="415"/>
      <c r="I331" s="415"/>
      <c r="J331" s="415"/>
      <c r="K331" s="415"/>
      <c r="L331" s="416"/>
      <c r="M331" s="38"/>
      <c r="N331" s="403" t="str">
        <f t="shared" si="148"/>
        <v/>
      </c>
      <c r="O331" s="404" t="str">
        <f t="shared" si="149"/>
        <v/>
      </c>
      <c r="P331" s="403" t="str">
        <f t="shared" si="163"/>
        <v/>
      </c>
      <c r="Q331" s="405" t="str">
        <f t="shared" si="150"/>
        <v/>
      </c>
      <c r="R331" s="406" t="str">
        <f t="shared" si="164"/>
        <v/>
      </c>
      <c r="S331" s="404" t="str">
        <f t="shared" si="151"/>
        <v/>
      </c>
      <c r="T331" s="403" t="str">
        <f t="shared" si="165"/>
        <v/>
      </c>
      <c r="U331" s="405" t="str">
        <f t="shared" si="152"/>
        <v/>
      </c>
      <c r="V331" s="406" t="str">
        <f t="shared" si="166"/>
        <v/>
      </c>
      <c r="W331" s="404" t="str">
        <f t="shared" si="153"/>
        <v/>
      </c>
      <c r="X331" s="403" t="str">
        <f t="shared" si="167"/>
        <v/>
      </c>
      <c r="Y331" s="407" t="str">
        <f t="shared" si="154"/>
        <v/>
      </c>
      <c r="Z331" s="408" t="str">
        <f t="shared" si="168"/>
        <v/>
      </c>
      <c r="AA331" s="404" t="str">
        <f t="shared" si="155"/>
        <v/>
      </c>
      <c r="AB331" s="403" t="str">
        <f t="shared" si="169"/>
        <v/>
      </c>
      <c r="AC331" s="405" t="str">
        <f t="shared" si="156"/>
        <v/>
      </c>
      <c r="AD331" s="406" t="str">
        <f t="shared" si="157"/>
        <v/>
      </c>
      <c r="AE331" s="404" t="str">
        <f t="shared" si="158"/>
        <v/>
      </c>
      <c r="AF331" s="403" t="str">
        <f t="shared" si="170"/>
        <v/>
      </c>
      <c r="AG331" s="407" t="str">
        <f t="shared" si="159"/>
        <v/>
      </c>
      <c r="AH331" s="408" t="str">
        <f t="shared" si="171"/>
        <v/>
      </c>
      <c r="AI331" s="404" t="str">
        <f t="shared" si="160"/>
        <v/>
      </c>
      <c r="AJ331" s="403" t="str">
        <f t="shared" si="172"/>
        <v/>
      </c>
      <c r="AK331" s="405" t="str">
        <f t="shared" si="161"/>
        <v/>
      </c>
      <c r="AL331" s="406" t="str">
        <f t="shared" si="173"/>
        <v/>
      </c>
      <c r="AM331" s="404" t="str">
        <f t="shared" si="162"/>
        <v/>
      </c>
      <c r="AN331" s="38"/>
    </row>
    <row r="332" spans="1:40" ht="12.75" x14ac:dyDescent="0.2">
      <c r="A332" s="124"/>
      <c r="B332" s="38"/>
      <c r="C332" s="799"/>
      <c r="D332" s="800"/>
      <c r="E332" s="415"/>
      <c r="F332" s="415"/>
      <c r="G332" s="415"/>
      <c r="H332" s="415"/>
      <c r="I332" s="415"/>
      <c r="J332" s="415"/>
      <c r="K332" s="415"/>
      <c r="L332" s="416"/>
      <c r="M332" s="38"/>
      <c r="N332" s="403" t="str">
        <f t="shared" si="148"/>
        <v/>
      </c>
      <c r="O332" s="404" t="str">
        <f t="shared" si="149"/>
        <v/>
      </c>
      <c r="P332" s="403" t="str">
        <f t="shared" si="163"/>
        <v/>
      </c>
      <c r="Q332" s="405" t="str">
        <f t="shared" si="150"/>
        <v/>
      </c>
      <c r="R332" s="406" t="str">
        <f t="shared" si="164"/>
        <v/>
      </c>
      <c r="S332" s="404" t="str">
        <f t="shared" si="151"/>
        <v/>
      </c>
      <c r="T332" s="403" t="str">
        <f t="shared" si="165"/>
        <v/>
      </c>
      <c r="U332" s="405" t="str">
        <f t="shared" si="152"/>
        <v/>
      </c>
      <c r="V332" s="406" t="str">
        <f t="shared" si="166"/>
        <v/>
      </c>
      <c r="W332" s="404" t="str">
        <f t="shared" si="153"/>
        <v/>
      </c>
      <c r="X332" s="403" t="str">
        <f t="shared" si="167"/>
        <v/>
      </c>
      <c r="Y332" s="407" t="str">
        <f t="shared" si="154"/>
        <v/>
      </c>
      <c r="Z332" s="408" t="str">
        <f t="shared" si="168"/>
        <v/>
      </c>
      <c r="AA332" s="404" t="str">
        <f t="shared" si="155"/>
        <v/>
      </c>
      <c r="AB332" s="403" t="str">
        <f t="shared" si="169"/>
        <v/>
      </c>
      <c r="AC332" s="405" t="str">
        <f t="shared" si="156"/>
        <v/>
      </c>
      <c r="AD332" s="406" t="str">
        <f t="shared" si="157"/>
        <v/>
      </c>
      <c r="AE332" s="404" t="str">
        <f t="shared" si="158"/>
        <v/>
      </c>
      <c r="AF332" s="403" t="str">
        <f t="shared" si="170"/>
        <v/>
      </c>
      <c r="AG332" s="407" t="str">
        <f t="shared" si="159"/>
        <v/>
      </c>
      <c r="AH332" s="408" t="str">
        <f t="shared" si="171"/>
        <v/>
      </c>
      <c r="AI332" s="404" t="str">
        <f t="shared" si="160"/>
        <v/>
      </c>
      <c r="AJ332" s="403" t="str">
        <f t="shared" si="172"/>
        <v/>
      </c>
      <c r="AK332" s="405" t="str">
        <f t="shared" si="161"/>
        <v/>
      </c>
      <c r="AL332" s="406" t="str">
        <f t="shared" si="173"/>
        <v/>
      </c>
      <c r="AM332" s="404" t="str">
        <f t="shared" si="162"/>
        <v/>
      </c>
      <c r="AN332" s="38"/>
    </row>
    <row r="333" spans="1:40" ht="12.75" x14ac:dyDescent="0.2">
      <c r="A333" s="124"/>
      <c r="B333" s="38"/>
      <c r="C333" s="799"/>
      <c r="D333" s="800"/>
      <c r="E333" s="415"/>
      <c r="F333" s="415"/>
      <c r="G333" s="415"/>
      <c r="H333" s="415"/>
      <c r="I333" s="415"/>
      <c r="J333" s="415"/>
      <c r="K333" s="415"/>
      <c r="L333" s="416"/>
      <c r="M333" s="38"/>
      <c r="N333" s="403" t="str">
        <f t="shared" si="148"/>
        <v/>
      </c>
      <c r="O333" s="404" t="str">
        <f t="shared" si="149"/>
        <v/>
      </c>
      <c r="P333" s="403" t="str">
        <f t="shared" si="163"/>
        <v/>
      </c>
      <c r="Q333" s="405" t="str">
        <f t="shared" si="150"/>
        <v/>
      </c>
      <c r="R333" s="406" t="str">
        <f t="shared" si="164"/>
        <v/>
      </c>
      <c r="S333" s="404" t="str">
        <f t="shared" si="151"/>
        <v/>
      </c>
      <c r="T333" s="403" t="str">
        <f t="shared" si="165"/>
        <v/>
      </c>
      <c r="U333" s="405" t="str">
        <f t="shared" si="152"/>
        <v/>
      </c>
      <c r="V333" s="406" t="str">
        <f t="shared" si="166"/>
        <v/>
      </c>
      <c r="W333" s="404" t="str">
        <f t="shared" si="153"/>
        <v/>
      </c>
      <c r="X333" s="403" t="str">
        <f t="shared" si="167"/>
        <v/>
      </c>
      <c r="Y333" s="407" t="str">
        <f t="shared" si="154"/>
        <v/>
      </c>
      <c r="Z333" s="408" t="str">
        <f t="shared" si="168"/>
        <v/>
      </c>
      <c r="AA333" s="404" t="str">
        <f t="shared" si="155"/>
        <v/>
      </c>
      <c r="AB333" s="403" t="str">
        <f t="shared" si="169"/>
        <v/>
      </c>
      <c r="AC333" s="405" t="str">
        <f t="shared" si="156"/>
        <v/>
      </c>
      <c r="AD333" s="406" t="str">
        <f t="shared" si="157"/>
        <v/>
      </c>
      <c r="AE333" s="404" t="str">
        <f t="shared" si="158"/>
        <v/>
      </c>
      <c r="AF333" s="403" t="str">
        <f t="shared" si="170"/>
        <v/>
      </c>
      <c r="AG333" s="407" t="str">
        <f t="shared" si="159"/>
        <v/>
      </c>
      <c r="AH333" s="408" t="str">
        <f t="shared" si="171"/>
        <v/>
      </c>
      <c r="AI333" s="404" t="str">
        <f t="shared" si="160"/>
        <v/>
      </c>
      <c r="AJ333" s="403" t="str">
        <f t="shared" si="172"/>
        <v/>
      </c>
      <c r="AK333" s="405" t="str">
        <f t="shared" si="161"/>
        <v/>
      </c>
      <c r="AL333" s="406" t="str">
        <f t="shared" si="173"/>
        <v/>
      </c>
      <c r="AM333" s="404" t="str">
        <f t="shared" si="162"/>
        <v/>
      </c>
      <c r="AN333" s="38"/>
    </row>
    <row r="334" spans="1:40" ht="12.75" x14ac:dyDescent="0.2">
      <c r="A334" s="124"/>
      <c r="B334" s="38"/>
      <c r="C334" s="799"/>
      <c r="D334" s="800"/>
      <c r="E334" s="415"/>
      <c r="F334" s="415"/>
      <c r="G334" s="415"/>
      <c r="H334" s="415"/>
      <c r="I334" s="415"/>
      <c r="J334" s="415"/>
      <c r="K334" s="415"/>
      <c r="L334" s="416"/>
      <c r="M334" s="38"/>
      <c r="N334" s="403" t="str">
        <f t="shared" si="148"/>
        <v/>
      </c>
      <c r="O334" s="404" t="str">
        <f t="shared" si="149"/>
        <v/>
      </c>
      <c r="P334" s="403" t="str">
        <f t="shared" si="163"/>
        <v/>
      </c>
      <c r="Q334" s="405" t="str">
        <f t="shared" si="150"/>
        <v/>
      </c>
      <c r="R334" s="406" t="str">
        <f t="shared" si="164"/>
        <v/>
      </c>
      <c r="S334" s="404" t="str">
        <f t="shared" si="151"/>
        <v/>
      </c>
      <c r="T334" s="403" t="str">
        <f t="shared" si="165"/>
        <v/>
      </c>
      <c r="U334" s="405" t="str">
        <f t="shared" si="152"/>
        <v/>
      </c>
      <c r="V334" s="406" t="str">
        <f t="shared" si="166"/>
        <v/>
      </c>
      <c r="W334" s="404" t="str">
        <f t="shared" si="153"/>
        <v/>
      </c>
      <c r="X334" s="403" t="str">
        <f t="shared" si="167"/>
        <v/>
      </c>
      <c r="Y334" s="407" t="str">
        <f t="shared" si="154"/>
        <v/>
      </c>
      <c r="Z334" s="408" t="str">
        <f t="shared" si="168"/>
        <v/>
      </c>
      <c r="AA334" s="404" t="str">
        <f t="shared" si="155"/>
        <v/>
      </c>
      <c r="AB334" s="403" t="str">
        <f t="shared" si="169"/>
        <v/>
      </c>
      <c r="AC334" s="405" t="str">
        <f t="shared" si="156"/>
        <v/>
      </c>
      <c r="AD334" s="406" t="str">
        <f t="shared" si="157"/>
        <v/>
      </c>
      <c r="AE334" s="404" t="str">
        <f t="shared" si="158"/>
        <v/>
      </c>
      <c r="AF334" s="403" t="str">
        <f t="shared" si="170"/>
        <v/>
      </c>
      <c r="AG334" s="407" t="str">
        <f t="shared" si="159"/>
        <v/>
      </c>
      <c r="AH334" s="408" t="str">
        <f t="shared" si="171"/>
        <v/>
      </c>
      <c r="AI334" s="404" t="str">
        <f t="shared" si="160"/>
        <v/>
      </c>
      <c r="AJ334" s="403" t="str">
        <f t="shared" si="172"/>
        <v/>
      </c>
      <c r="AK334" s="405" t="str">
        <f t="shared" si="161"/>
        <v/>
      </c>
      <c r="AL334" s="406" t="str">
        <f t="shared" si="173"/>
        <v/>
      </c>
      <c r="AM334" s="404" t="str">
        <f t="shared" si="162"/>
        <v/>
      </c>
      <c r="AN334" s="38"/>
    </row>
    <row r="335" spans="1:40" ht="12.75" x14ac:dyDescent="0.2">
      <c r="A335" s="124"/>
      <c r="B335" s="38"/>
      <c r="C335" s="799"/>
      <c r="D335" s="800"/>
      <c r="E335" s="415"/>
      <c r="F335" s="415"/>
      <c r="G335" s="415"/>
      <c r="H335" s="415"/>
      <c r="I335" s="415"/>
      <c r="J335" s="415"/>
      <c r="K335" s="415"/>
      <c r="L335" s="416"/>
      <c r="M335" s="38"/>
      <c r="N335" s="403" t="str">
        <f t="shared" si="148"/>
        <v/>
      </c>
      <c r="O335" s="404" t="str">
        <f t="shared" si="149"/>
        <v/>
      </c>
      <c r="P335" s="403" t="str">
        <f t="shared" si="163"/>
        <v/>
      </c>
      <c r="Q335" s="405" t="str">
        <f t="shared" si="150"/>
        <v/>
      </c>
      <c r="R335" s="406" t="str">
        <f t="shared" si="164"/>
        <v/>
      </c>
      <c r="S335" s="404" t="str">
        <f t="shared" si="151"/>
        <v/>
      </c>
      <c r="T335" s="403" t="str">
        <f t="shared" si="165"/>
        <v/>
      </c>
      <c r="U335" s="405" t="str">
        <f t="shared" si="152"/>
        <v/>
      </c>
      <c r="V335" s="406" t="str">
        <f t="shared" si="166"/>
        <v/>
      </c>
      <c r="W335" s="404" t="str">
        <f t="shared" si="153"/>
        <v/>
      </c>
      <c r="X335" s="403" t="str">
        <f t="shared" si="167"/>
        <v/>
      </c>
      <c r="Y335" s="407" t="str">
        <f t="shared" si="154"/>
        <v/>
      </c>
      <c r="Z335" s="408" t="str">
        <f t="shared" si="168"/>
        <v/>
      </c>
      <c r="AA335" s="404" t="str">
        <f t="shared" si="155"/>
        <v/>
      </c>
      <c r="AB335" s="403" t="str">
        <f t="shared" si="169"/>
        <v/>
      </c>
      <c r="AC335" s="405" t="str">
        <f t="shared" si="156"/>
        <v/>
      </c>
      <c r="AD335" s="406" t="str">
        <f t="shared" si="157"/>
        <v/>
      </c>
      <c r="AE335" s="404" t="str">
        <f t="shared" si="158"/>
        <v/>
      </c>
      <c r="AF335" s="403" t="str">
        <f t="shared" si="170"/>
        <v/>
      </c>
      <c r="AG335" s="407" t="str">
        <f t="shared" si="159"/>
        <v/>
      </c>
      <c r="AH335" s="408" t="str">
        <f t="shared" si="171"/>
        <v/>
      </c>
      <c r="AI335" s="404" t="str">
        <f t="shared" si="160"/>
        <v/>
      </c>
      <c r="AJ335" s="403" t="str">
        <f t="shared" si="172"/>
        <v/>
      </c>
      <c r="AK335" s="405" t="str">
        <f t="shared" si="161"/>
        <v/>
      </c>
      <c r="AL335" s="406" t="str">
        <f t="shared" si="173"/>
        <v/>
      </c>
      <c r="AM335" s="404" t="str">
        <f t="shared" si="162"/>
        <v/>
      </c>
      <c r="AN335" s="38"/>
    </row>
    <row r="336" spans="1:40" ht="12.75" x14ac:dyDescent="0.2">
      <c r="A336" s="124"/>
      <c r="B336" s="38"/>
      <c r="C336" s="799"/>
      <c r="D336" s="800"/>
      <c r="E336" s="415"/>
      <c r="F336" s="415"/>
      <c r="G336" s="415"/>
      <c r="H336" s="415"/>
      <c r="I336" s="415"/>
      <c r="J336" s="415"/>
      <c r="K336" s="415"/>
      <c r="L336" s="416"/>
      <c r="M336" s="38"/>
      <c r="N336" s="403" t="str">
        <f t="shared" si="148"/>
        <v/>
      </c>
      <c r="O336" s="404" t="str">
        <f t="shared" si="149"/>
        <v/>
      </c>
      <c r="P336" s="403" t="str">
        <f t="shared" si="163"/>
        <v/>
      </c>
      <c r="Q336" s="405" t="str">
        <f t="shared" si="150"/>
        <v/>
      </c>
      <c r="R336" s="406" t="str">
        <f t="shared" si="164"/>
        <v/>
      </c>
      <c r="S336" s="404" t="str">
        <f t="shared" si="151"/>
        <v/>
      </c>
      <c r="T336" s="403" t="str">
        <f t="shared" si="165"/>
        <v/>
      </c>
      <c r="U336" s="405" t="str">
        <f t="shared" si="152"/>
        <v/>
      </c>
      <c r="V336" s="406" t="str">
        <f t="shared" si="166"/>
        <v/>
      </c>
      <c r="W336" s="404" t="str">
        <f t="shared" si="153"/>
        <v/>
      </c>
      <c r="X336" s="403" t="str">
        <f t="shared" si="167"/>
        <v/>
      </c>
      <c r="Y336" s="407" t="str">
        <f t="shared" si="154"/>
        <v/>
      </c>
      <c r="Z336" s="408" t="str">
        <f t="shared" si="168"/>
        <v/>
      </c>
      <c r="AA336" s="404" t="str">
        <f t="shared" si="155"/>
        <v/>
      </c>
      <c r="AB336" s="403" t="str">
        <f t="shared" si="169"/>
        <v/>
      </c>
      <c r="AC336" s="405" t="str">
        <f t="shared" si="156"/>
        <v/>
      </c>
      <c r="AD336" s="406" t="str">
        <f t="shared" si="157"/>
        <v/>
      </c>
      <c r="AE336" s="404" t="str">
        <f t="shared" si="158"/>
        <v/>
      </c>
      <c r="AF336" s="403" t="str">
        <f t="shared" si="170"/>
        <v/>
      </c>
      <c r="AG336" s="407" t="str">
        <f t="shared" si="159"/>
        <v/>
      </c>
      <c r="AH336" s="408" t="str">
        <f t="shared" si="171"/>
        <v/>
      </c>
      <c r="AI336" s="404" t="str">
        <f t="shared" si="160"/>
        <v/>
      </c>
      <c r="AJ336" s="403" t="str">
        <f t="shared" si="172"/>
        <v/>
      </c>
      <c r="AK336" s="405" t="str">
        <f t="shared" si="161"/>
        <v/>
      </c>
      <c r="AL336" s="406" t="str">
        <f t="shared" si="173"/>
        <v/>
      </c>
      <c r="AM336" s="404" t="str">
        <f t="shared" si="162"/>
        <v/>
      </c>
      <c r="AN336" s="38"/>
    </row>
    <row r="337" spans="1:40" ht="13.5" thickBot="1" x14ac:dyDescent="0.25">
      <c r="A337" s="124"/>
      <c r="B337" s="38"/>
      <c r="C337" s="803"/>
      <c r="D337" s="804"/>
      <c r="E337" s="417"/>
      <c r="F337" s="417"/>
      <c r="G337" s="417"/>
      <c r="H337" s="417"/>
      <c r="I337" s="417"/>
      <c r="J337" s="417"/>
      <c r="K337" s="417"/>
      <c r="L337" s="418"/>
      <c r="M337" s="38"/>
      <c r="N337" s="409" t="str">
        <f t="shared" si="148"/>
        <v/>
      </c>
      <c r="O337" s="410" t="str">
        <f t="shared" si="149"/>
        <v/>
      </c>
      <c r="P337" s="409" t="str">
        <f t="shared" si="163"/>
        <v/>
      </c>
      <c r="Q337" s="411" t="str">
        <f t="shared" si="150"/>
        <v/>
      </c>
      <c r="R337" s="412" t="str">
        <f t="shared" si="164"/>
        <v/>
      </c>
      <c r="S337" s="410" t="str">
        <f t="shared" si="151"/>
        <v/>
      </c>
      <c r="T337" s="409" t="str">
        <f t="shared" si="165"/>
        <v/>
      </c>
      <c r="U337" s="411" t="str">
        <f t="shared" si="152"/>
        <v/>
      </c>
      <c r="V337" s="412" t="str">
        <f t="shared" si="166"/>
        <v/>
      </c>
      <c r="W337" s="410" t="str">
        <f t="shared" si="153"/>
        <v/>
      </c>
      <c r="X337" s="409" t="str">
        <f t="shared" si="167"/>
        <v/>
      </c>
      <c r="Y337" s="413" t="str">
        <f t="shared" si="154"/>
        <v/>
      </c>
      <c r="Z337" s="414" t="str">
        <f t="shared" si="168"/>
        <v/>
      </c>
      <c r="AA337" s="410" t="str">
        <f t="shared" si="155"/>
        <v/>
      </c>
      <c r="AB337" s="409" t="str">
        <f t="shared" si="169"/>
        <v/>
      </c>
      <c r="AC337" s="411" t="str">
        <f t="shared" si="156"/>
        <v/>
      </c>
      <c r="AD337" s="412" t="str">
        <f t="shared" si="157"/>
        <v/>
      </c>
      <c r="AE337" s="410" t="str">
        <f t="shared" si="158"/>
        <v/>
      </c>
      <c r="AF337" s="409" t="str">
        <f t="shared" si="170"/>
        <v/>
      </c>
      <c r="AG337" s="413" t="str">
        <f t="shared" si="159"/>
        <v/>
      </c>
      <c r="AH337" s="414" t="str">
        <f t="shared" si="171"/>
        <v/>
      </c>
      <c r="AI337" s="410" t="str">
        <f t="shared" si="160"/>
        <v/>
      </c>
      <c r="AJ337" s="409" t="str">
        <f t="shared" si="172"/>
        <v/>
      </c>
      <c r="AK337" s="411" t="str">
        <f t="shared" si="161"/>
        <v/>
      </c>
      <c r="AL337" s="412" t="str">
        <f t="shared" si="173"/>
        <v/>
      </c>
      <c r="AM337" s="410" t="str">
        <f t="shared" si="162"/>
        <v/>
      </c>
      <c r="AN337" s="38"/>
    </row>
    <row r="338" spans="1:40" ht="12.75" thickTop="1" x14ac:dyDescent="0.2">
      <c r="A338" s="26"/>
      <c r="B338" s="38"/>
      <c r="C338" s="38"/>
      <c r="D338" s="38"/>
      <c r="E338" s="38"/>
      <c r="F338" s="38"/>
      <c r="G338" s="38"/>
      <c r="H338" s="38"/>
      <c r="I338" s="38"/>
      <c r="J338" s="38"/>
      <c r="K338" s="38"/>
      <c r="L338" s="38"/>
      <c r="M338" s="38"/>
      <c r="N338" s="275"/>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row>
    <row r="339" spans="1:40" x14ac:dyDescent="0.2">
      <c r="A339" s="26"/>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row>
    <row r="340" spans="1:40" ht="15.75" x14ac:dyDescent="0.25">
      <c r="A340" s="26"/>
      <c r="B340" s="38"/>
      <c r="C340" s="84" t="s">
        <v>121</v>
      </c>
      <c r="D340" s="38"/>
      <c r="E340" s="38"/>
      <c r="F340" s="38"/>
      <c r="G340" s="38"/>
      <c r="H340" s="38"/>
      <c r="I340" s="38"/>
      <c r="J340" s="38"/>
      <c r="K340" s="38"/>
      <c r="L340" s="38"/>
      <c r="M340" s="38"/>
      <c r="N340" s="84"/>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row>
    <row r="341" spans="1:40" ht="12.75" thickBot="1" x14ac:dyDescent="0.25">
      <c r="A341" s="26"/>
      <c r="B341" s="38"/>
      <c r="C341" s="38"/>
      <c r="D341" s="38"/>
      <c r="E341" s="38"/>
      <c r="F341" s="38"/>
      <c r="G341" s="38"/>
      <c r="H341" s="38"/>
      <c r="I341" s="38"/>
      <c r="J341" s="38"/>
      <c r="K341" s="38"/>
      <c r="L341" s="38"/>
      <c r="M341" s="38"/>
      <c r="N341" s="277"/>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row>
    <row r="342" spans="1:40" ht="17.25" thickTop="1" thickBot="1" x14ac:dyDescent="0.3">
      <c r="A342" s="26"/>
      <c r="B342" s="38"/>
      <c r="C342" s="38"/>
      <c r="D342" s="38"/>
      <c r="E342" s="38"/>
      <c r="F342" s="805" t="s">
        <v>121</v>
      </c>
      <c r="G342" s="806"/>
      <c r="H342" s="806"/>
      <c r="I342" s="806"/>
      <c r="J342" s="806"/>
      <c r="K342" s="806"/>
      <c r="L342" s="807"/>
      <c r="M342" s="45"/>
      <c r="N342" s="810" t="s">
        <v>906</v>
      </c>
      <c r="O342" s="811"/>
      <c r="P342" s="811"/>
      <c r="Q342" s="811"/>
      <c r="R342" s="811"/>
      <c r="S342" s="811"/>
      <c r="T342" s="811"/>
      <c r="U342" s="811"/>
      <c r="V342" s="811"/>
      <c r="W342" s="811"/>
      <c r="X342" s="811"/>
      <c r="Y342" s="811"/>
      <c r="Z342" s="811"/>
      <c r="AA342" s="811"/>
      <c r="AB342" s="811"/>
      <c r="AC342" s="811"/>
      <c r="AD342" s="811"/>
      <c r="AE342" s="811"/>
      <c r="AF342" s="811"/>
      <c r="AG342" s="811"/>
      <c r="AH342" s="811"/>
      <c r="AI342" s="811"/>
      <c r="AJ342" s="811"/>
      <c r="AK342" s="811"/>
      <c r="AL342" s="811"/>
      <c r="AM342" s="812"/>
      <c r="AN342" s="38"/>
    </row>
    <row r="343" spans="1:40" ht="39" customHeight="1" thickTop="1" x14ac:dyDescent="0.2">
      <c r="A343" s="26"/>
      <c r="B343" s="38"/>
      <c r="C343" s="801" t="s">
        <v>106</v>
      </c>
      <c r="D343" s="802"/>
      <c r="E343" s="292" t="s">
        <v>918</v>
      </c>
      <c r="F343" s="293" t="s">
        <v>107</v>
      </c>
      <c r="G343" s="293" t="s">
        <v>108</v>
      </c>
      <c r="H343" s="293" t="s">
        <v>109</v>
      </c>
      <c r="I343" s="293" t="s">
        <v>110</v>
      </c>
      <c r="J343" s="293" t="s">
        <v>111</v>
      </c>
      <c r="K343" s="293" t="s">
        <v>112</v>
      </c>
      <c r="L343" s="294" t="s">
        <v>113</v>
      </c>
      <c r="M343" s="45"/>
      <c r="N343" s="796" t="s">
        <v>114</v>
      </c>
      <c r="O343" s="798"/>
      <c r="P343" s="796" t="s">
        <v>115</v>
      </c>
      <c r="Q343" s="797"/>
      <c r="R343" s="797"/>
      <c r="S343" s="798"/>
      <c r="T343" s="796" t="s">
        <v>116</v>
      </c>
      <c r="U343" s="797"/>
      <c r="V343" s="797"/>
      <c r="W343" s="798"/>
      <c r="X343" s="793" t="s">
        <v>117</v>
      </c>
      <c r="Y343" s="794"/>
      <c r="Z343" s="794"/>
      <c r="AA343" s="795"/>
      <c r="AB343" s="793" t="s">
        <v>118</v>
      </c>
      <c r="AC343" s="794"/>
      <c r="AD343" s="794"/>
      <c r="AE343" s="795"/>
      <c r="AF343" s="793" t="s">
        <v>119</v>
      </c>
      <c r="AG343" s="794"/>
      <c r="AH343" s="794"/>
      <c r="AI343" s="795"/>
      <c r="AJ343" s="793" t="s">
        <v>120</v>
      </c>
      <c r="AK343" s="794"/>
      <c r="AL343" s="794"/>
      <c r="AM343" s="795"/>
      <c r="AN343" s="38"/>
    </row>
    <row r="344" spans="1:40" ht="12.75" x14ac:dyDescent="0.2">
      <c r="A344" s="26"/>
      <c r="B344" s="38"/>
      <c r="C344" s="297"/>
      <c r="D344" s="88"/>
      <c r="E344" s="160" t="str">
        <f>E311</f>
        <v>2014/15</v>
      </c>
      <c r="F344" s="160" t="str">
        <f>F311</f>
        <v>2015/16</v>
      </c>
      <c r="G344" s="160" t="str">
        <f t="shared" ref="G344:L344" si="174">G311</f>
        <v>2016/17</v>
      </c>
      <c r="H344" s="160" t="str">
        <f t="shared" si="174"/>
        <v>2017/18</v>
      </c>
      <c r="I344" s="160" t="str">
        <f t="shared" si="174"/>
        <v>2018/19</v>
      </c>
      <c r="J344" s="160" t="str">
        <f t="shared" si="174"/>
        <v>2019/20</v>
      </c>
      <c r="K344" s="160" t="str">
        <f t="shared" si="174"/>
        <v>2020/21</v>
      </c>
      <c r="L344" s="182" t="str">
        <f t="shared" si="174"/>
        <v>2021/22</v>
      </c>
      <c r="M344" s="45"/>
      <c r="N344" s="251" t="s">
        <v>102</v>
      </c>
      <c r="O344" s="248" t="s">
        <v>125</v>
      </c>
      <c r="P344" s="251" t="s">
        <v>102</v>
      </c>
      <c r="Q344" s="247" t="s">
        <v>125</v>
      </c>
      <c r="R344" s="244" t="s">
        <v>103</v>
      </c>
      <c r="S344" s="248" t="s">
        <v>125</v>
      </c>
      <c r="T344" s="251" t="s">
        <v>102</v>
      </c>
      <c r="U344" s="247" t="s">
        <v>125</v>
      </c>
      <c r="V344" s="244" t="s">
        <v>103</v>
      </c>
      <c r="W344" s="248" t="s">
        <v>125</v>
      </c>
      <c r="X344" s="251" t="s">
        <v>102</v>
      </c>
      <c r="Y344" s="244" t="s">
        <v>125</v>
      </c>
      <c r="Z344" s="245" t="s">
        <v>103</v>
      </c>
      <c r="AA344" s="248" t="s">
        <v>125</v>
      </c>
      <c r="AB344" s="251" t="s">
        <v>102</v>
      </c>
      <c r="AC344" s="247" t="s">
        <v>125</v>
      </c>
      <c r="AD344" s="244" t="s">
        <v>103</v>
      </c>
      <c r="AE344" s="248" t="s">
        <v>125</v>
      </c>
      <c r="AF344" s="251" t="s">
        <v>102</v>
      </c>
      <c r="AG344" s="244" t="s">
        <v>125</v>
      </c>
      <c r="AH344" s="245" t="s">
        <v>103</v>
      </c>
      <c r="AI344" s="248" t="s">
        <v>125</v>
      </c>
      <c r="AJ344" s="251" t="s">
        <v>102</v>
      </c>
      <c r="AK344" s="247" t="s">
        <v>125</v>
      </c>
      <c r="AL344" s="244" t="s">
        <v>103</v>
      </c>
      <c r="AM344" s="248" t="s">
        <v>125</v>
      </c>
      <c r="AN344" s="38"/>
    </row>
    <row r="345" spans="1:40" ht="12.75" x14ac:dyDescent="0.2">
      <c r="A345" s="26"/>
      <c r="B345" s="38"/>
      <c r="C345" s="799" t="s">
        <v>960</v>
      </c>
      <c r="D345" s="800"/>
      <c r="E345" s="415">
        <v>81</v>
      </c>
      <c r="F345" s="415">
        <v>85</v>
      </c>
      <c r="G345" s="415">
        <v>87</v>
      </c>
      <c r="H345" s="415">
        <f t="shared" ref="H345:L345" si="175">ROUND(+G345*1.03,0)</f>
        <v>90</v>
      </c>
      <c r="I345" s="415">
        <f t="shared" si="175"/>
        <v>93</v>
      </c>
      <c r="J345" s="415">
        <f t="shared" si="175"/>
        <v>96</v>
      </c>
      <c r="K345" s="415">
        <f t="shared" si="175"/>
        <v>99</v>
      </c>
      <c r="L345" s="415">
        <f t="shared" si="175"/>
        <v>102</v>
      </c>
      <c r="M345" s="45"/>
      <c r="N345" s="403">
        <f t="shared" ref="N345:N364" si="176">IF(F345=0,"",IF(E345=0,"",F345-E345))</f>
        <v>4</v>
      </c>
      <c r="O345" s="404">
        <f t="shared" ref="O345:O364" si="177">IF(N345="","",N345/E345)</f>
        <v>4.9382716049382713E-2</v>
      </c>
      <c r="P345" s="403">
        <f>IF(G345=0,"",IF(F345=0,"",G345-F345))</f>
        <v>2</v>
      </c>
      <c r="Q345" s="405">
        <f t="shared" ref="Q345:Q364" si="178">IF(P345="","",P345/F345)</f>
        <v>2.3529411764705882E-2</v>
      </c>
      <c r="R345" s="406">
        <f>IF(P345="","",P345+N345)</f>
        <v>6</v>
      </c>
      <c r="S345" s="404">
        <f t="shared" ref="S345:S364" si="179">IF(R345="","",R345/E345)</f>
        <v>7.407407407407407E-2</v>
      </c>
      <c r="T345" s="403">
        <f>IF(H345=0,"",IF(G345=0,"",H345-G345))</f>
        <v>3</v>
      </c>
      <c r="U345" s="405">
        <f t="shared" ref="U345:U364" si="180">IF(T345="","",T345/G345)</f>
        <v>3.4482758620689655E-2</v>
      </c>
      <c r="V345" s="406">
        <f>IF(T345="","",T345+R345)</f>
        <v>9</v>
      </c>
      <c r="W345" s="404">
        <f t="shared" ref="W345:W364" si="181">IF(V345="","",V345/E345)</f>
        <v>0.1111111111111111</v>
      </c>
      <c r="X345" s="403">
        <f>IF(I345=0,"",IF(H345=0,"",I345-H345))</f>
        <v>3</v>
      </c>
      <c r="Y345" s="407">
        <f t="shared" ref="Y345:Y364" si="182">IF(X345="","",X345/H345)</f>
        <v>3.3333333333333333E-2</v>
      </c>
      <c r="Z345" s="408">
        <f>IF(X345="","",X345+V345)</f>
        <v>12</v>
      </c>
      <c r="AA345" s="404">
        <f t="shared" ref="AA345:AA364" si="183">IF(Z345="","",Z345/E345)</f>
        <v>0.14814814814814814</v>
      </c>
      <c r="AB345" s="403">
        <f>IF(J345=0,"",IF(I345=0,"",J345-I345))</f>
        <v>3</v>
      </c>
      <c r="AC345" s="405">
        <f t="shared" ref="AC345:AC364" si="184">IF(AB345="","",AB345/I345)</f>
        <v>3.2258064516129031E-2</v>
      </c>
      <c r="AD345" s="406">
        <f t="shared" ref="AD345:AD364" si="185">IF(AB345="","",AB345+Z345)</f>
        <v>15</v>
      </c>
      <c r="AE345" s="404">
        <f t="shared" ref="AE345:AE364" si="186">IF(AD345="","",AD345/E345)</f>
        <v>0.18518518518518517</v>
      </c>
      <c r="AF345" s="403">
        <f>IF(K345=0,"",IF(J345=0,"",K345-J345))</f>
        <v>3</v>
      </c>
      <c r="AG345" s="407">
        <f t="shared" ref="AG345:AG364" si="187">IF(AF345="","",AF345/J345)</f>
        <v>3.125E-2</v>
      </c>
      <c r="AH345" s="408">
        <f>IF(AF345="","",AF345+AD345)</f>
        <v>18</v>
      </c>
      <c r="AI345" s="404">
        <f t="shared" ref="AI345:AI364" si="188">IF(AH345="","",AH345/E345)</f>
        <v>0.22222222222222221</v>
      </c>
      <c r="AJ345" s="403">
        <f>IF(L345=0,"",IF(K345=0,"",L345-K345))</f>
        <v>3</v>
      </c>
      <c r="AK345" s="405">
        <f t="shared" ref="AK345:AK364" si="189">IF(AJ345="","",AJ345/K345)</f>
        <v>3.0303030303030304E-2</v>
      </c>
      <c r="AL345" s="406">
        <f>IF(AJ345="","",AJ345+AH345)</f>
        <v>21</v>
      </c>
      <c r="AM345" s="404">
        <f t="shared" ref="AM345:AM364" si="190">IF(AL345="","",AL345/E345)</f>
        <v>0.25925925925925924</v>
      </c>
      <c r="AN345" s="38"/>
    </row>
    <row r="346" spans="1:40" ht="12.75" x14ac:dyDescent="0.2">
      <c r="A346" s="26"/>
      <c r="B346" s="38"/>
      <c r="C346" s="799" t="s">
        <v>961</v>
      </c>
      <c r="D346" s="800"/>
      <c r="E346" s="415">
        <v>127</v>
      </c>
      <c r="F346" s="415">
        <v>133</v>
      </c>
      <c r="G346" s="415">
        <v>136</v>
      </c>
      <c r="H346" s="415">
        <f t="shared" ref="H346:L346" si="191">ROUND(+G346*1.03,0)</f>
        <v>140</v>
      </c>
      <c r="I346" s="415">
        <f t="shared" si="191"/>
        <v>144</v>
      </c>
      <c r="J346" s="415">
        <f t="shared" si="191"/>
        <v>148</v>
      </c>
      <c r="K346" s="415">
        <f t="shared" si="191"/>
        <v>152</v>
      </c>
      <c r="L346" s="415">
        <f t="shared" si="191"/>
        <v>157</v>
      </c>
      <c r="M346" s="45"/>
      <c r="N346" s="403">
        <f t="shared" si="176"/>
        <v>6</v>
      </c>
      <c r="O346" s="404">
        <f t="shared" si="177"/>
        <v>4.7244094488188976E-2</v>
      </c>
      <c r="P346" s="403">
        <f>IF(G346=0,"",IF(F346=0,"",G346-F346))</f>
        <v>3</v>
      </c>
      <c r="Q346" s="405">
        <f t="shared" si="178"/>
        <v>2.2556390977443608E-2</v>
      </c>
      <c r="R346" s="406">
        <f>IF(P346="","",P346+N346)</f>
        <v>9</v>
      </c>
      <c r="S346" s="404">
        <f t="shared" si="179"/>
        <v>7.0866141732283464E-2</v>
      </c>
      <c r="T346" s="403">
        <f>IF(H346=0,"",IF(G346=0,"",H346-G346))</f>
        <v>4</v>
      </c>
      <c r="U346" s="405">
        <f t="shared" si="180"/>
        <v>2.9411764705882353E-2</v>
      </c>
      <c r="V346" s="406">
        <f>IF(T346="","",T346+R346)</f>
        <v>13</v>
      </c>
      <c r="W346" s="404">
        <f t="shared" si="181"/>
        <v>0.10236220472440945</v>
      </c>
      <c r="X346" s="403">
        <f>IF(I346=0,"",IF(H346=0,"",I346-H346))</f>
        <v>4</v>
      </c>
      <c r="Y346" s="407">
        <f t="shared" si="182"/>
        <v>2.8571428571428571E-2</v>
      </c>
      <c r="Z346" s="408">
        <f>IF(X346="","",X346+V346)</f>
        <v>17</v>
      </c>
      <c r="AA346" s="404">
        <f t="shared" si="183"/>
        <v>0.13385826771653545</v>
      </c>
      <c r="AB346" s="403">
        <f>IF(J346=0,"",IF(I346=0,"",J346-I346))</f>
        <v>4</v>
      </c>
      <c r="AC346" s="405">
        <f t="shared" si="184"/>
        <v>2.7777777777777776E-2</v>
      </c>
      <c r="AD346" s="406">
        <f t="shared" si="185"/>
        <v>21</v>
      </c>
      <c r="AE346" s="404">
        <f t="shared" si="186"/>
        <v>0.16535433070866143</v>
      </c>
      <c r="AF346" s="403">
        <f>IF(K346=0,"",IF(J346=0,"",K346-J346))</f>
        <v>4</v>
      </c>
      <c r="AG346" s="407">
        <f t="shared" si="187"/>
        <v>2.7027027027027029E-2</v>
      </c>
      <c r="AH346" s="408">
        <f>IF(AF346="","",AF346+AD346)</f>
        <v>25</v>
      </c>
      <c r="AI346" s="404">
        <f t="shared" si="188"/>
        <v>0.19685039370078741</v>
      </c>
      <c r="AJ346" s="403">
        <f>IF(L346=0,"",IF(K346=0,"",L346-K346))</f>
        <v>5</v>
      </c>
      <c r="AK346" s="405">
        <f t="shared" si="189"/>
        <v>3.2894736842105261E-2</v>
      </c>
      <c r="AL346" s="406">
        <f>IF(AJ346="","",AJ346+AH346)</f>
        <v>30</v>
      </c>
      <c r="AM346" s="404">
        <f t="shared" si="190"/>
        <v>0.23622047244094488</v>
      </c>
      <c r="AN346" s="38"/>
    </row>
    <row r="347" spans="1:40" ht="12.75" x14ac:dyDescent="0.2">
      <c r="A347" s="26"/>
      <c r="B347" s="38"/>
      <c r="C347" s="799" t="s">
        <v>962</v>
      </c>
      <c r="D347" s="800"/>
      <c r="E347" s="415">
        <v>207</v>
      </c>
      <c r="F347" s="415">
        <v>218</v>
      </c>
      <c r="G347" s="415">
        <v>223</v>
      </c>
      <c r="H347" s="415">
        <f t="shared" ref="H347:L347" si="192">ROUND(+G347*1.03,0)</f>
        <v>230</v>
      </c>
      <c r="I347" s="415">
        <f t="shared" si="192"/>
        <v>237</v>
      </c>
      <c r="J347" s="415">
        <f t="shared" si="192"/>
        <v>244</v>
      </c>
      <c r="K347" s="415">
        <f t="shared" si="192"/>
        <v>251</v>
      </c>
      <c r="L347" s="415">
        <f t="shared" si="192"/>
        <v>259</v>
      </c>
      <c r="M347" s="45"/>
      <c r="N347" s="403">
        <f t="shared" si="176"/>
        <v>11</v>
      </c>
      <c r="O347" s="404">
        <f t="shared" si="177"/>
        <v>5.3140096618357488E-2</v>
      </c>
      <c r="P347" s="403">
        <f t="shared" ref="P347:P364" si="193">IF(G347=0,"",IF(F347=0,"",G347-F347))</f>
        <v>5</v>
      </c>
      <c r="Q347" s="405">
        <f t="shared" si="178"/>
        <v>2.2935779816513763E-2</v>
      </c>
      <c r="R347" s="406">
        <f t="shared" ref="R347:R364" si="194">IF(P347="","",P347+N347)</f>
        <v>16</v>
      </c>
      <c r="S347" s="404">
        <f t="shared" si="179"/>
        <v>7.7294685990338161E-2</v>
      </c>
      <c r="T347" s="403">
        <f t="shared" ref="T347:T364" si="195">IF(H347=0,"",IF(G347=0,"",H347-G347))</f>
        <v>7</v>
      </c>
      <c r="U347" s="405">
        <f t="shared" si="180"/>
        <v>3.1390134529147982E-2</v>
      </c>
      <c r="V347" s="406">
        <f t="shared" ref="V347:V364" si="196">IF(T347="","",T347+R347)</f>
        <v>23</v>
      </c>
      <c r="W347" s="404">
        <f t="shared" si="181"/>
        <v>0.1111111111111111</v>
      </c>
      <c r="X347" s="403">
        <f t="shared" ref="X347:X364" si="197">IF(I347=0,"",IF(H347=0,"",I347-H347))</f>
        <v>7</v>
      </c>
      <c r="Y347" s="407">
        <f t="shared" si="182"/>
        <v>3.0434782608695653E-2</v>
      </c>
      <c r="Z347" s="408">
        <f t="shared" ref="Z347:Z364" si="198">IF(X347="","",X347+V347)</f>
        <v>30</v>
      </c>
      <c r="AA347" s="404">
        <f t="shared" si="183"/>
        <v>0.14492753623188406</v>
      </c>
      <c r="AB347" s="403">
        <f t="shared" ref="AB347:AB364" si="199">IF(J347=0,"",IF(I347=0,"",J347-I347))</f>
        <v>7</v>
      </c>
      <c r="AC347" s="405">
        <f t="shared" si="184"/>
        <v>2.9535864978902954E-2</v>
      </c>
      <c r="AD347" s="406">
        <f t="shared" si="185"/>
        <v>37</v>
      </c>
      <c r="AE347" s="404">
        <f t="shared" si="186"/>
        <v>0.17874396135265699</v>
      </c>
      <c r="AF347" s="403">
        <f t="shared" ref="AF347:AF364" si="200">IF(K347=0,"",IF(J347=0,"",K347-J347))</f>
        <v>7</v>
      </c>
      <c r="AG347" s="407">
        <f t="shared" si="187"/>
        <v>2.8688524590163935E-2</v>
      </c>
      <c r="AH347" s="408">
        <f t="shared" ref="AH347:AH364" si="201">IF(AF347="","",AF347+AD347)</f>
        <v>44</v>
      </c>
      <c r="AI347" s="404">
        <f t="shared" si="188"/>
        <v>0.21256038647342995</v>
      </c>
      <c r="AJ347" s="403">
        <f t="shared" ref="AJ347:AJ364" si="202">IF(L347=0,"",IF(K347=0,"",L347-K347))</f>
        <v>8</v>
      </c>
      <c r="AK347" s="405">
        <f t="shared" si="189"/>
        <v>3.1872509960159362E-2</v>
      </c>
      <c r="AL347" s="406">
        <f t="shared" ref="AL347:AL364" si="203">IF(AJ347="","",AJ347+AH347)</f>
        <v>52</v>
      </c>
      <c r="AM347" s="404">
        <f t="shared" si="190"/>
        <v>0.25120772946859904</v>
      </c>
      <c r="AN347" s="38"/>
    </row>
    <row r="348" spans="1:40" ht="12.75" x14ac:dyDescent="0.2">
      <c r="A348" s="26"/>
      <c r="B348" s="38"/>
      <c r="C348" s="799" t="s">
        <v>963</v>
      </c>
      <c r="D348" s="800"/>
      <c r="E348" s="415">
        <v>324</v>
      </c>
      <c r="F348" s="415">
        <v>340</v>
      </c>
      <c r="G348" s="415">
        <v>348</v>
      </c>
      <c r="H348" s="415">
        <f t="shared" ref="H348:L348" si="204">ROUND(+G348*1.03,0)</f>
        <v>358</v>
      </c>
      <c r="I348" s="415">
        <f t="shared" si="204"/>
        <v>369</v>
      </c>
      <c r="J348" s="415">
        <f t="shared" si="204"/>
        <v>380</v>
      </c>
      <c r="K348" s="415">
        <f t="shared" si="204"/>
        <v>391</v>
      </c>
      <c r="L348" s="415">
        <f t="shared" si="204"/>
        <v>403</v>
      </c>
      <c r="M348" s="45"/>
      <c r="N348" s="403">
        <f t="shared" si="176"/>
        <v>16</v>
      </c>
      <c r="O348" s="404">
        <f t="shared" si="177"/>
        <v>4.9382716049382713E-2</v>
      </c>
      <c r="P348" s="403">
        <f t="shared" si="193"/>
        <v>8</v>
      </c>
      <c r="Q348" s="405">
        <f t="shared" si="178"/>
        <v>2.3529411764705882E-2</v>
      </c>
      <c r="R348" s="406">
        <f t="shared" si="194"/>
        <v>24</v>
      </c>
      <c r="S348" s="404">
        <f t="shared" si="179"/>
        <v>7.407407407407407E-2</v>
      </c>
      <c r="T348" s="403">
        <f t="shared" si="195"/>
        <v>10</v>
      </c>
      <c r="U348" s="405">
        <f t="shared" si="180"/>
        <v>2.8735632183908046E-2</v>
      </c>
      <c r="V348" s="406">
        <f t="shared" si="196"/>
        <v>34</v>
      </c>
      <c r="W348" s="404">
        <f t="shared" si="181"/>
        <v>0.10493827160493827</v>
      </c>
      <c r="X348" s="403">
        <f t="shared" si="197"/>
        <v>11</v>
      </c>
      <c r="Y348" s="407">
        <f t="shared" si="182"/>
        <v>3.0726256983240222E-2</v>
      </c>
      <c r="Z348" s="408">
        <f t="shared" si="198"/>
        <v>45</v>
      </c>
      <c r="AA348" s="404">
        <f t="shared" si="183"/>
        <v>0.1388888888888889</v>
      </c>
      <c r="AB348" s="403">
        <f t="shared" si="199"/>
        <v>11</v>
      </c>
      <c r="AC348" s="405">
        <f t="shared" si="184"/>
        <v>2.9810298102981029E-2</v>
      </c>
      <c r="AD348" s="406">
        <f t="shared" si="185"/>
        <v>56</v>
      </c>
      <c r="AE348" s="404">
        <f t="shared" si="186"/>
        <v>0.1728395061728395</v>
      </c>
      <c r="AF348" s="403">
        <f t="shared" si="200"/>
        <v>11</v>
      </c>
      <c r="AG348" s="407">
        <f t="shared" si="187"/>
        <v>2.8947368421052631E-2</v>
      </c>
      <c r="AH348" s="408">
        <f t="shared" si="201"/>
        <v>67</v>
      </c>
      <c r="AI348" s="404">
        <f t="shared" si="188"/>
        <v>0.20679012345679013</v>
      </c>
      <c r="AJ348" s="403">
        <f t="shared" si="202"/>
        <v>12</v>
      </c>
      <c r="AK348" s="405">
        <f t="shared" si="189"/>
        <v>3.0690537084398978E-2</v>
      </c>
      <c r="AL348" s="406">
        <f t="shared" si="203"/>
        <v>79</v>
      </c>
      <c r="AM348" s="404">
        <f t="shared" si="190"/>
        <v>0.24382716049382716</v>
      </c>
      <c r="AN348" s="38"/>
    </row>
    <row r="349" spans="1:40" ht="12.75" x14ac:dyDescent="0.2">
      <c r="A349" s="26"/>
      <c r="B349" s="38"/>
      <c r="C349" s="799" t="s">
        <v>964</v>
      </c>
      <c r="D349" s="800"/>
      <c r="E349" s="415">
        <v>506</v>
      </c>
      <c r="F349" s="415">
        <v>532</v>
      </c>
      <c r="G349" s="415">
        <v>544</v>
      </c>
      <c r="H349" s="415">
        <f t="shared" ref="H349:L349" si="205">ROUND(+G349*1.03,0)</f>
        <v>560</v>
      </c>
      <c r="I349" s="415">
        <f t="shared" si="205"/>
        <v>577</v>
      </c>
      <c r="J349" s="415">
        <f t="shared" si="205"/>
        <v>594</v>
      </c>
      <c r="K349" s="415">
        <f t="shared" si="205"/>
        <v>612</v>
      </c>
      <c r="L349" s="415">
        <f t="shared" si="205"/>
        <v>630</v>
      </c>
      <c r="M349" s="45"/>
      <c r="N349" s="403">
        <f t="shared" si="176"/>
        <v>26</v>
      </c>
      <c r="O349" s="404">
        <f t="shared" si="177"/>
        <v>5.1383399209486168E-2</v>
      </c>
      <c r="P349" s="403">
        <f t="shared" si="193"/>
        <v>12</v>
      </c>
      <c r="Q349" s="405">
        <f t="shared" si="178"/>
        <v>2.2556390977443608E-2</v>
      </c>
      <c r="R349" s="406">
        <f t="shared" si="194"/>
        <v>38</v>
      </c>
      <c r="S349" s="404">
        <f t="shared" si="179"/>
        <v>7.5098814229249009E-2</v>
      </c>
      <c r="T349" s="403">
        <f t="shared" si="195"/>
        <v>16</v>
      </c>
      <c r="U349" s="405">
        <f t="shared" si="180"/>
        <v>2.9411764705882353E-2</v>
      </c>
      <c r="V349" s="406">
        <f t="shared" si="196"/>
        <v>54</v>
      </c>
      <c r="W349" s="404">
        <f t="shared" si="181"/>
        <v>0.1067193675889328</v>
      </c>
      <c r="X349" s="403">
        <f t="shared" si="197"/>
        <v>17</v>
      </c>
      <c r="Y349" s="407">
        <f t="shared" si="182"/>
        <v>3.0357142857142857E-2</v>
      </c>
      <c r="Z349" s="408">
        <f t="shared" si="198"/>
        <v>71</v>
      </c>
      <c r="AA349" s="404">
        <f t="shared" si="183"/>
        <v>0.14031620553359683</v>
      </c>
      <c r="AB349" s="403">
        <f t="shared" si="199"/>
        <v>17</v>
      </c>
      <c r="AC349" s="405">
        <f t="shared" si="184"/>
        <v>2.9462738301559793E-2</v>
      </c>
      <c r="AD349" s="406">
        <f t="shared" si="185"/>
        <v>88</v>
      </c>
      <c r="AE349" s="404">
        <f t="shared" si="186"/>
        <v>0.17391304347826086</v>
      </c>
      <c r="AF349" s="403">
        <f t="shared" si="200"/>
        <v>18</v>
      </c>
      <c r="AG349" s="407">
        <f t="shared" si="187"/>
        <v>3.0303030303030304E-2</v>
      </c>
      <c r="AH349" s="408">
        <f t="shared" si="201"/>
        <v>106</v>
      </c>
      <c r="AI349" s="404">
        <f t="shared" si="188"/>
        <v>0.20948616600790515</v>
      </c>
      <c r="AJ349" s="403">
        <f t="shared" si="202"/>
        <v>18</v>
      </c>
      <c r="AK349" s="405">
        <f t="shared" si="189"/>
        <v>2.9411764705882353E-2</v>
      </c>
      <c r="AL349" s="406">
        <f t="shared" si="203"/>
        <v>124</v>
      </c>
      <c r="AM349" s="404">
        <f t="shared" si="190"/>
        <v>0.24505928853754941</v>
      </c>
      <c r="AN349" s="38"/>
    </row>
    <row r="350" spans="1:40" ht="12.75" x14ac:dyDescent="0.2">
      <c r="A350" s="26"/>
      <c r="B350" s="38"/>
      <c r="C350" s="799" t="s">
        <v>965</v>
      </c>
      <c r="D350" s="800"/>
      <c r="E350" s="415">
        <v>1296</v>
      </c>
      <c r="F350" s="415">
        <v>1360</v>
      </c>
      <c r="G350" s="415">
        <v>1392</v>
      </c>
      <c r="H350" s="415">
        <f t="shared" ref="H350:L350" si="206">ROUND(+G350*1.03,0)</f>
        <v>1434</v>
      </c>
      <c r="I350" s="415">
        <f t="shared" si="206"/>
        <v>1477</v>
      </c>
      <c r="J350" s="415">
        <f t="shared" si="206"/>
        <v>1521</v>
      </c>
      <c r="K350" s="415">
        <f t="shared" si="206"/>
        <v>1567</v>
      </c>
      <c r="L350" s="415">
        <f t="shared" si="206"/>
        <v>1614</v>
      </c>
      <c r="M350" s="45"/>
      <c r="N350" s="403">
        <f t="shared" si="176"/>
        <v>64</v>
      </c>
      <c r="O350" s="404">
        <f t="shared" si="177"/>
        <v>4.9382716049382713E-2</v>
      </c>
      <c r="P350" s="403">
        <f t="shared" si="193"/>
        <v>32</v>
      </c>
      <c r="Q350" s="405">
        <f t="shared" si="178"/>
        <v>2.3529411764705882E-2</v>
      </c>
      <c r="R350" s="406">
        <f t="shared" si="194"/>
        <v>96</v>
      </c>
      <c r="S350" s="404">
        <f t="shared" si="179"/>
        <v>7.407407407407407E-2</v>
      </c>
      <c r="T350" s="403">
        <f t="shared" si="195"/>
        <v>42</v>
      </c>
      <c r="U350" s="405">
        <f t="shared" si="180"/>
        <v>3.017241379310345E-2</v>
      </c>
      <c r="V350" s="406">
        <f t="shared" si="196"/>
        <v>138</v>
      </c>
      <c r="W350" s="404">
        <f t="shared" si="181"/>
        <v>0.10648148148148148</v>
      </c>
      <c r="X350" s="403">
        <f t="shared" si="197"/>
        <v>43</v>
      </c>
      <c r="Y350" s="407">
        <f t="shared" si="182"/>
        <v>2.9986052998605298E-2</v>
      </c>
      <c r="Z350" s="408">
        <f t="shared" si="198"/>
        <v>181</v>
      </c>
      <c r="AA350" s="404">
        <f t="shared" si="183"/>
        <v>0.1396604938271605</v>
      </c>
      <c r="AB350" s="403">
        <f t="shared" si="199"/>
        <v>44</v>
      </c>
      <c r="AC350" s="405">
        <f t="shared" si="184"/>
        <v>2.979011509817197E-2</v>
      </c>
      <c r="AD350" s="406">
        <f t="shared" si="185"/>
        <v>225</v>
      </c>
      <c r="AE350" s="404">
        <f t="shared" si="186"/>
        <v>0.1736111111111111</v>
      </c>
      <c r="AF350" s="403">
        <f t="shared" si="200"/>
        <v>46</v>
      </c>
      <c r="AG350" s="407">
        <f t="shared" si="187"/>
        <v>3.0243261012491782E-2</v>
      </c>
      <c r="AH350" s="408">
        <f t="shared" si="201"/>
        <v>271</v>
      </c>
      <c r="AI350" s="404">
        <f t="shared" si="188"/>
        <v>0.20910493827160495</v>
      </c>
      <c r="AJ350" s="403">
        <f t="shared" si="202"/>
        <v>47</v>
      </c>
      <c r="AK350" s="405">
        <f t="shared" si="189"/>
        <v>2.9993618379068283E-2</v>
      </c>
      <c r="AL350" s="406">
        <f t="shared" si="203"/>
        <v>318</v>
      </c>
      <c r="AM350" s="404">
        <f t="shared" si="190"/>
        <v>0.24537037037037038</v>
      </c>
      <c r="AN350" s="38"/>
    </row>
    <row r="351" spans="1:40" ht="12.75" x14ac:dyDescent="0.2">
      <c r="A351" s="26"/>
      <c r="B351" s="38"/>
      <c r="C351" s="799" t="s">
        <v>966</v>
      </c>
      <c r="D351" s="800"/>
      <c r="E351" s="415">
        <v>2025</v>
      </c>
      <c r="F351" s="415">
        <v>2125</v>
      </c>
      <c r="G351" s="415">
        <v>2175</v>
      </c>
      <c r="H351" s="415">
        <f t="shared" ref="H351:L351" si="207">ROUND(+G351*1.03,0)</f>
        <v>2240</v>
      </c>
      <c r="I351" s="415">
        <f t="shared" si="207"/>
        <v>2307</v>
      </c>
      <c r="J351" s="415">
        <f t="shared" si="207"/>
        <v>2376</v>
      </c>
      <c r="K351" s="415">
        <f t="shared" si="207"/>
        <v>2447</v>
      </c>
      <c r="L351" s="415">
        <f t="shared" si="207"/>
        <v>2520</v>
      </c>
      <c r="M351" s="45"/>
      <c r="N351" s="403">
        <f t="shared" si="176"/>
        <v>100</v>
      </c>
      <c r="O351" s="404">
        <f t="shared" si="177"/>
        <v>4.9382716049382713E-2</v>
      </c>
      <c r="P351" s="403">
        <f t="shared" si="193"/>
        <v>50</v>
      </c>
      <c r="Q351" s="405">
        <f t="shared" si="178"/>
        <v>2.3529411764705882E-2</v>
      </c>
      <c r="R351" s="406">
        <f t="shared" si="194"/>
        <v>150</v>
      </c>
      <c r="S351" s="404">
        <f t="shared" si="179"/>
        <v>7.407407407407407E-2</v>
      </c>
      <c r="T351" s="403">
        <f t="shared" si="195"/>
        <v>65</v>
      </c>
      <c r="U351" s="405">
        <f t="shared" si="180"/>
        <v>2.9885057471264367E-2</v>
      </c>
      <c r="V351" s="406">
        <f t="shared" si="196"/>
        <v>215</v>
      </c>
      <c r="W351" s="404">
        <f t="shared" si="181"/>
        <v>0.10617283950617284</v>
      </c>
      <c r="X351" s="403">
        <f t="shared" si="197"/>
        <v>67</v>
      </c>
      <c r="Y351" s="407">
        <f t="shared" si="182"/>
        <v>2.9910714285714287E-2</v>
      </c>
      <c r="Z351" s="408">
        <f t="shared" si="198"/>
        <v>282</v>
      </c>
      <c r="AA351" s="404">
        <f t="shared" si="183"/>
        <v>0.13925925925925925</v>
      </c>
      <c r="AB351" s="403">
        <f t="shared" si="199"/>
        <v>69</v>
      </c>
      <c r="AC351" s="405">
        <f t="shared" si="184"/>
        <v>2.9908972691807541E-2</v>
      </c>
      <c r="AD351" s="406">
        <f t="shared" si="185"/>
        <v>351</v>
      </c>
      <c r="AE351" s="404">
        <f t="shared" si="186"/>
        <v>0.17333333333333334</v>
      </c>
      <c r="AF351" s="403">
        <f t="shared" si="200"/>
        <v>71</v>
      </c>
      <c r="AG351" s="407">
        <f t="shared" si="187"/>
        <v>2.9882154882154881E-2</v>
      </c>
      <c r="AH351" s="408">
        <f t="shared" si="201"/>
        <v>422</v>
      </c>
      <c r="AI351" s="404">
        <f t="shared" si="188"/>
        <v>0.20839506172839506</v>
      </c>
      <c r="AJ351" s="403">
        <f t="shared" si="202"/>
        <v>73</v>
      </c>
      <c r="AK351" s="405">
        <f t="shared" si="189"/>
        <v>2.98324478953821E-2</v>
      </c>
      <c r="AL351" s="406">
        <f t="shared" si="203"/>
        <v>495</v>
      </c>
      <c r="AM351" s="404">
        <f t="shared" si="190"/>
        <v>0.24444444444444444</v>
      </c>
      <c r="AN351" s="38"/>
    </row>
    <row r="352" spans="1:40" ht="12.75" x14ac:dyDescent="0.2">
      <c r="A352" s="26"/>
      <c r="B352" s="38"/>
      <c r="C352" s="799" t="s">
        <v>967</v>
      </c>
      <c r="D352" s="800"/>
      <c r="E352" s="415">
        <v>4556</v>
      </c>
      <c r="F352" s="415">
        <v>4782</v>
      </c>
      <c r="G352" s="415">
        <v>4894</v>
      </c>
      <c r="H352" s="415">
        <f t="shared" ref="H352:L352" si="208">ROUND(+G352*1.03,0)</f>
        <v>5041</v>
      </c>
      <c r="I352" s="415">
        <f t="shared" si="208"/>
        <v>5192</v>
      </c>
      <c r="J352" s="415">
        <f t="shared" si="208"/>
        <v>5348</v>
      </c>
      <c r="K352" s="415">
        <f t="shared" si="208"/>
        <v>5508</v>
      </c>
      <c r="L352" s="415">
        <f t="shared" si="208"/>
        <v>5673</v>
      </c>
      <c r="M352" s="45"/>
      <c r="N352" s="403">
        <f t="shared" si="176"/>
        <v>226</v>
      </c>
      <c r="O352" s="404">
        <f t="shared" si="177"/>
        <v>4.9604916593503072E-2</v>
      </c>
      <c r="P352" s="403">
        <f t="shared" si="193"/>
        <v>112</v>
      </c>
      <c r="Q352" s="405">
        <f t="shared" si="178"/>
        <v>2.3421162693433709E-2</v>
      </c>
      <c r="R352" s="406">
        <f t="shared" si="194"/>
        <v>338</v>
      </c>
      <c r="S352" s="404">
        <f t="shared" si="179"/>
        <v>7.4187884108867425E-2</v>
      </c>
      <c r="T352" s="403">
        <f t="shared" si="195"/>
        <v>147</v>
      </c>
      <c r="U352" s="405">
        <f t="shared" si="180"/>
        <v>3.0036779730281977E-2</v>
      </c>
      <c r="V352" s="406">
        <f t="shared" si="196"/>
        <v>485</v>
      </c>
      <c r="W352" s="404">
        <f t="shared" si="181"/>
        <v>0.10645302897278314</v>
      </c>
      <c r="X352" s="403">
        <f t="shared" si="197"/>
        <v>151</v>
      </c>
      <c r="Y352" s="407">
        <f t="shared" si="182"/>
        <v>2.9954374132116643E-2</v>
      </c>
      <c r="Z352" s="408">
        <f t="shared" si="198"/>
        <v>636</v>
      </c>
      <c r="AA352" s="404">
        <f t="shared" si="183"/>
        <v>0.1395961369622476</v>
      </c>
      <c r="AB352" s="403">
        <f t="shared" si="199"/>
        <v>156</v>
      </c>
      <c r="AC352" s="405">
        <f t="shared" si="184"/>
        <v>3.0046224961479198E-2</v>
      </c>
      <c r="AD352" s="406">
        <f t="shared" si="185"/>
        <v>792</v>
      </c>
      <c r="AE352" s="404">
        <f t="shared" si="186"/>
        <v>0.17383669885864794</v>
      </c>
      <c r="AF352" s="403">
        <f t="shared" si="200"/>
        <v>160</v>
      </c>
      <c r="AG352" s="407">
        <f t="shared" si="187"/>
        <v>2.9917726252804786E-2</v>
      </c>
      <c r="AH352" s="408">
        <f t="shared" si="201"/>
        <v>952</v>
      </c>
      <c r="AI352" s="404">
        <f t="shared" si="188"/>
        <v>0.20895522388059701</v>
      </c>
      <c r="AJ352" s="403">
        <f t="shared" si="202"/>
        <v>165</v>
      </c>
      <c r="AK352" s="405">
        <f t="shared" si="189"/>
        <v>2.9956427015250545E-2</v>
      </c>
      <c r="AL352" s="406">
        <f t="shared" si="203"/>
        <v>1117</v>
      </c>
      <c r="AM352" s="404">
        <f t="shared" si="190"/>
        <v>0.24517120280948201</v>
      </c>
      <c r="AN352" s="38"/>
    </row>
    <row r="353" spans="1:40" ht="12.75" x14ac:dyDescent="0.2">
      <c r="A353" s="26"/>
      <c r="B353" s="38"/>
      <c r="C353" s="799" t="s">
        <v>968</v>
      </c>
      <c r="D353" s="800"/>
      <c r="E353" s="415">
        <v>8100</v>
      </c>
      <c r="F353" s="415">
        <v>8500</v>
      </c>
      <c r="G353" s="415">
        <v>8700</v>
      </c>
      <c r="H353" s="415">
        <f t="shared" ref="H353:L353" si="209">ROUND(+G353*1.03,0)</f>
        <v>8961</v>
      </c>
      <c r="I353" s="415">
        <f t="shared" si="209"/>
        <v>9230</v>
      </c>
      <c r="J353" s="415">
        <f t="shared" si="209"/>
        <v>9507</v>
      </c>
      <c r="K353" s="415">
        <f t="shared" si="209"/>
        <v>9792</v>
      </c>
      <c r="L353" s="415">
        <f t="shared" si="209"/>
        <v>10086</v>
      </c>
      <c r="M353" s="45"/>
      <c r="N353" s="403">
        <f t="shared" si="176"/>
        <v>400</v>
      </c>
      <c r="O353" s="404">
        <f t="shared" si="177"/>
        <v>4.9382716049382713E-2</v>
      </c>
      <c r="P353" s="403">
        <f t="shared" si="193"/>
        <v>200</v>
      </c>
      <c r="Q353" s="405">
        <f t="shared" si="178"/>
        <v>2.3529411764705882E-2</v>
      </c>
      <c r="R353" s="406">
        <f t="shared" si="194"/>
        <v>600</v>
      </c>
      <c r="S353" s="404">
        <f t="shared" si="179"/>
        <v>7.407407407407407E-2</v>
      </c>
      <c r="T353" s="403">
        <f t="shared" si="195"/>
        <v>261</v>
      </c>
      <c r="U353" s="405">
        <f t="shared" si="180"/>
        <v>0.03</v>
      </c>
      <c r="V353" s="406">
        <f t="shared" si="196"/>
        <v>861</v>
      </c>
      <c r="W353" s="404">
        <f t="shared" si="181"/>
        <v>0.10629629629629629</v>
      </c>
      <c r="X353" s="403">
        <f t="shared" si="197"/>
        <v>269</v>
      </c>
      <c r="Y353" s="407">
        <f t="shared" si="182"/>
        <v>3.0018971096975784E-2</v>
      </c>
      <c r="Z353" s="408">
        <f t="shared" si="198"/>
        <v>1130</v>
      </c>
      <c r="AA353" s="404">
        <f t="shared" si="183"/>
        <v>0.13950617283950617</v>
      </c>
      <c r="AB353" s="403">
        <f t="shared" si="199"/>
        <v>277</v>
      </c>
      <c r="AC353" s="405">
        <f t="shared" si="184"/>
        <v>3.0010834236186348E-2</v>
      </c>
      <c r="AD353" s="406">
        <f t="shared" si="185"/>
        <v>1407</v>
      </c>
      <c r="AE353" s="404">
        <f t="shared" si="186"/>
        <v>0.17370370370370369</v>
      </c>
      <c r="AF353" s="403">
        <f t="shared" si="200"/>
        <v>285</v>
      </c>
      <c r="AG353" s="407">
        <f t="shared" si="187"/>
        <v>2.9977911012937834E-2</v>
      </c>
      <c r="AH353" s="408">
        <f t="shared" si="201"/>
        <v>1692</v>
      </c>
      <c r="AI353" s="404">
        <f t="shared" si="188"/>
        <v>0.2088888888888889</v>
      </c>
      <c r="AJ353" s="403">
        <f t="shared" si="202"/>
        <v>294</v>
      </c>
      <c r="AK353" s="405">
        <f t="shared" si="189"/>
        <v>3.002450980392157E-2</v>
      </c>
      <c r="AL353" s="406">
        <f t="shared" si="203"/>
        <v>1986</v>
      </c>
      <c r="AM353" s="404">
        <f t="shared" si="190"/>
        <v>0.24518518518518517</v>
      </c>
      <c r="AN353" s="38"/>
    </row>
    <row r="354" spans="1:40" ht="12.75" x14ac:dyDescent="0.2">
      <c r="A354" s="26"/>
      <c r="B354" s="38"/>
      <c r="C354" s="799"/>
      <c r="D354" s="800"/>
      <c r="E354" s="415"/>
      <c r="F354" s="415"/>
      <c r="G354" s="415"/>
      <c r="H354" s="415"/>
      <c r="I354" s="415"/>
      <c r="J354" s="415"/>
      <c r="K354" s="415"/>
      <c r="L354" s="416"/>
      <c r="M354" s="45"/>
      <c r="N354" s="403" t="str">
        <f t="shared" si="176"/>
        <v/>
      </c>
      <c r="O354" s="404" t="str">
        <f t="shared" si="177"/>
        <v/>
      </c>
      <c r="P354" s="403" t="str">
        <f t="shared" si="193"/>
        <v/>
      </c>
      <c r="Q354" s="405" t="str">
        <f t="shared" si="178"/>
        <v/>
      </c>
      <c r="R354" s="406" t="str">
        <f t="shared" si="194"/>
        <v/>
      </c>
      <c r="S354" s="404" t="str">
        <f t="shared" si="179"/>
        <v/>
      </c>
      <c r="T354" s="403" t="str">
        <f t="shared" si="195"/>
        <v/>
      </c>
      <c r="U354" s="405" t="str">
        <f t="shared" si="180"/>
        <v/>
      </c>
      <c r="V354" s="406" t="str">
        <f t="shared" si="196"/>
        <v/>
      </c>
      <c r="W354" s="404" t="str">
        <f t="shared" si="181"/>
        <v/>
      </c>
      <c r="X354" s="403" t="str">
        <f t="shared" si="197"/>
        <v/>
      </c>
      <c r="Y354" s="407" t="str">
        <f t="shared" si="182"/>
        <v/>
      </c>
      <c r="Z354" s="408" t="str">
        <f t="shared" si="198"/>
        <v/>
      </c>
      <c r="AA354" s="404" t="str">
        <f t="shared" si="183"/>
        <v/>
      </c>
      <c r="AB354" s="403" t="str">
        <f t="shared" si="199"/>
        <v/>
      </c>
      <c r="AC354" s="405" t="str">
        <f t="shared" si="184"/>
        <v/>
      </c>
      <c r="AD354" s="406" t="str">
        <f t="shared" si="185"/>
        <v/>
      </c>
      <c r="AE354" s="404" t="str">
        <f t="shared" si="186"/>
        <v/>
      </c>
      <c r="AF354" s="403" t="str">
        <f t="shared" si="200"/>
        <v/>
      </c>
      <c r="AG354" s="407" t="str">
        <f t="shared" si="187"/>
        <v/>
      </c>
      <c r="AH354" s="408" t="str">
        <f t="shared" si="201"/>
        <v/>
      </c>
      <c r="AI354" s="404" t="str">
        <f t="shared" si="188"/>
        <v/>
      </c>
      <c r="AJ354" s="403" t="str">
        <f t="shared" si="202"/>
        <v/>
      </c>
      <c r="AK354" s="405" t="str">
        <f t="shared" si="189"/>
        <v/>
      </c>
      <c r="AL354" s="406" t="str">
        <f t="shared" si="203"/>
        <v/>
      </c>
      <c r="AM354" s="404" t="str">
        <f t="shared" si="190"/>
        <v/>
      </c>
      <c r="AN354" s="38"/>
    </row>
    <row r="355" spans="1:40" ht="12.75" x14ac:dyDescent="0.2">
      <c r="A355" s="26"/>
      <c r="B355" s="38"/>
      <c r="C355" s="799"/>
      <c r="D355" s="800"/>
      <c r="E355" s="415"/>
      <c r="F355" s="415"/>
      <c r="G355" s="415"/>
      <c r="H355" s="415"/>
      <c r="I355" s="415"/>
      <c r="J355" s="415"/>
      <c r="K355" s="415"/>
      <c r="L355" s="416"/>
      <c r="M355" s="45"/>
      <c r="N355" s="403" t="str">
        <f t="shared" si="176"/>
        <v/>
      </c>
      <c r="O355" s="404" t="str">
        <f t="shared" si="177"/>
        <v/>
      </c>
      <c r="P355" s="403" t="str">
        <f t="shared" si="193"/>
        <v/>
      </c>
      <c r="Q355" s="405" t="str">
        <f t="shared" si="178"/>
        <v/>
      </c>
      <c r="R355" s="406" t="str">
        <f t="shared" si="194"/>
        <v/>
      </c>
      <c r="S355" s="404" t="str">
        <f t="shared" si="179"/>
        <v/>
      </c>
      <c r="T355" s="403" t="str">
        <f t="shared" si="195"/>
        <v/>
      </c>
      <c r="U355" s="405" t="str">
        <f t="shared" si="180"/>
        <v/>
      </c>
      <c r="V355" s="406" t="str">
        <f t="shared" si="196"/>
        <v/>
      </c>
      <c r="W355" s="404" t="str">
        <f t="shared" si="181"/>
        <v/>
      </c>
      <c r="X355" s="403" t="str">
        <f t="shared" si="197"/>
        <v/>
      </c>
      <c r="Y355" s="407" t="str">
        <f t="shared" si="182"/>
        <v/>
      </c>
      <c r="Z355" s="408" t="str">
        <f t="shared" si="198"/>
        <v/>
      </c>
      <c r="AA355" s="404" t="str">
        <f t="shared" si="183"/>
        <v/>
      </c>
      <c r="AB355" s="403" t="str">
        <f t="shared" si="199"/>
        <v/>
      </c>
      <c r="AC355" s="405" t="str">
        <f t="shared" si="184"/>
        <v/>
      </c>
      <c r="AD355" s="406" t="str">
        <f t="shared" si="185"/>
        <v/>
      </c>
      <c r="AE355" s="404" t="str">
        <f t="shared" si="186"/>
        <v/>
      </c>
      <c r="AF355" s="403" t="str">
        <f t="shared" si="200"/>
        <v/>
      </c>
      <c r="AG355" s="407" t="str">
        <f t="shared" si="187"/>
        <v/>
      </c>
      <c r="AH355" s="408" t="str">
        <f t="shared" si="201"/>
        <v/>
      </c>
      <c r="AI355" s="404" t="str">
        <f t="shared" si="188"/>
        <v/>
      </c>
      <c r="AJ355" s="403" t="str">
        <f t="shared" si="202"/>
        <v/>
      </c>
      <c r="AK355" s="405" t="str">
        <f t="shared" si="189"/>
        <v/>
      </c>
      <c r="AL355" s="406" t="str">
        <f t="shared" si="203"/>
        <v/>
      </c>
      <c r="AM355" s="404" t="str">
        <f t="shared" si="190"/>
        <v/>
      </c>
      <c r="AN355" s="38"/>
    </row>
    <row r="356" spans="1:40" ht="12.75" x14ac:dyDescent="0.2">
      <c r="A356" s="26"/>
      <c r="B356" s="38"/>
      <c r="C356" s="799"/>
      <c r="D356" s="800"/>
      <c r="E356" s="415"/>
      <c r="F356" s="415"/>
      <c r="G356" s="415"/>
      <c r="H356" s="415"/>
      <c r="I356" s="415"/>
      <c r="J356" s="415"/>
      <c r="K356" s="415"/>
      <c r="L356" s="416"/>
      <c r="M356" s="45"/>
      <c r="N356" s="403" t="str">
        <f t="shared" si="176"/>
        <v/>
      </c>
      <c r="O356" s="404" t="str">
        <f t="shared" si="177"/>
        <v/>
      </c>
      <c r="P356" s="403" t="str">
        <f t="shared" si="193"/>
        <v/>
      </c>
      <c r="Q356" s="405" t="str">
        <f t="shared" si="178"/>
        <v/>
      </c>
      <c r="R356" s="406" t="str">
        <f t="shared" si="194"/>
        <v/>
      </c>
      <c r="S356" s="404" t="str">
        <f t="shared" si="179"/>
        <v/>
      </c>
      <c r="T356" s="403" t="str">
        <f t="shared" si="195"/>
        <v/>
      </c>
      <c r="U356" s="405" t="str">
        <f t="shared" si="180"/>
        <v/>
      </c>
      <c r="V356" s="406" t="str">
        <f t="shared" si="196"/>
        <v/>
      </c>
      <c r="W356" s="404" t="str">
        <f t="shared" si="181"/>
        <v/>
      </c>
      <c r="X356" s="403" t="str">
        <f t="shared" si="197"/>
        <v/>
      </c>
      <c r="Y356" s="407" t="str">
        <f t="shared" si="182"/>
        <v/>
      </c>
      <c r="Z356" s="408" t="str">
        <f t="shared" si="198"/>
        <v/>
      </c>
      <c r="AA356" s="404" t="str">
        <f t="shared" si="183"/>
        <v/>
      </c>
      <c r="AB356" s="403" t="str">
        <f t="shared" si="199"/>
        <v/>
      </c>
      <c r="AC356" s="405" t="str">
        <f t="shared" si="184"/>
        <v/>
      </c>
      <c r="AD356" s="406" t="str">
        <f t="shared" si="185"/>
        <v/>
      </c>
      <c r="AE356" s="404" t="str">
        <f t="shared" si="186"/>
        <v/>
      </c>
      <c r="AF356" s="403" t="str">
        <f t="shared" si="200"/>
        <v/>
      </c>
      <c r="AG356" s="407" t="str">
        <f t="shared" si="187"/>
        <v/>
      </c>
      <c r="AH356" s="408" t="str">
        <f t="shared" si="201"/>
        <v/>
      </c>
      <c r="AI356" s="404" t="str">
        <f t="shared" si="188"/>
        <v/>
      </c>
      <c r="AJ356" s="403" t="str">
        <f t="shared" si="202"/>
        <v/>
      </c>
      <c r="AK356" s="405" t="str">
        <f t="shared" si="189"/>
        <v/>
      </c>
      <c r="AL356" s="406" t="str">
        <f t="shared" si="203"/>
        <v/>
      </c>
      <c r="AM356" s="404" t="str">
        <f t="shared" si="190"/>
        <v/>
      </c>
      <c r="AN356" s="38"/>
    </row>
    <row r="357" spans="1:40" ht="12.75" x14ac:dyDescent="0.2">
      <c r="A357" s="26"/>
      <c r="B357" s="38"/>
      <c r="C357" s="799"/>
      <c r="D357" s="800"/>
      <c r="E357" s="415"/>
      <c r="F357" s="415"/>
      <c r="G357" s="415"/>
      <c r="H357" s="415"/>
      <c r="I357" s="415"/>
      <c r="J357" s="415"/>
      <c r="K357" s="415"/>
      <c r="L357" s="416"/>
      <c r="M357" s="45"/>
      <c r="N357" s="403" t="str">
        <f t="shared" si="176"/>
        <v/>
      </c>
      <c r="O357" s="404" t="str">
        <f t="shared" si="177"/>
        <v/>
      </c>
      <c r="P357" s="403" t="str">
        <f t="shared" si="193"/>
        <v/>
      </c>
      <c r="Q357" s="405" t="str">
        <f t="shared" si="178"/>
        <v/>
      </c>
      <c r="R357" s="406" t="str">
        <f t="shared" si="194"/>
        <v/>
      </c>
      <c r="S357" s="404" t="str">
        <f t="shared" si="179"/>
        <v/>
      </c>
      <c r="T357" s="403" t="str">
        <f t="shared" si="195"/>
        <v/>
      </c>
      <c r="U357" s="405" t="str">
        <f t="shared" si="180"/>
        <v/>
      </c>
      <c r="V357" s="406" t="str">
        <f t="shared" si="196"/>
        <v/>
      </c>
      <c r="W357" s="404" t="str">
        <f t="shared" si="181"/>
        <v/>
      </c>
      <c r="X357" s="403" t="str">
        <f t="shared" si="197"/>
        <v/>
      </c>
      <c r="Y357" s="407" t="str">
        <f t="shared" si="182"/>
        <v/>
      </c>
      <c r="Z357" s="408" t="str">
        <f t="shared" si="198"/>
        <v/>
      </c>
      <c r="AA357" s="404" t="str">
        <f t="shared" si="183"/>
        <v/>
      </c>
      <c r="AB357" s="403" t="str">
        <f t="shared" si="199"/>
        <v/>
      </c>
      <c r="AC357" s="405" t="str">
        <f t="shared" si="184"/>
        <v/>
      </c>
      <c r="AD357" s="406" t="str">
        <f t="shared" si="185"/>
        <v/>
      </c>
      <c r="AE357" s="404" t="str">
        <f t="shared" si="186"/>
        <v/>
      </c>
      <c r="AF357" s="403" t="str">
        <f t="shared" si="200"/>
        <v/>
      </c>
      <c r="AG357" s="407" t="str">
        <f t="shared" si="187"/>
        <v/>
      </c>
      <c r="AH357" s="408" t="str">
        <f t="shared" si="201"/>
        <v/>
      </c>
      <c r="AI357" s="404" t="str">
        <f t="shared" si="188"/>
        <v/>
      </c>
      <c r="AJ357" s="403" t="str">
        <f t="shared" si="202"/>
        <v/>
      </c>
      <c r="AK357" s="405" t="str">
        <f t="shared" si="189"/>
        <v/>
      </c>
      <c r="AL357" s="406" t="str">
        <f t="shared" si="203"/>
        <v/>
      </c>
      <c r="AM357" s="404" t="str">
        <f t="shared" si="190"/>
        <v/>
      </c>
      <c r="AN357" s="38"/>
    </row>
    <row r="358" spans="1:40" ht="12.75" x14ac:dyDescent="0.2">
      <c r="A358" s="26"/>
      <c r="B358" s="38"/>
      <c r="C358" s="799"/>
      <c r="D358" s="800"/>
      <c r="E358" s="415"/>
      <c r="F358" s="415"/>
      <c r="G358" s="415"/>
      <c r="H358" s="415"/>
      <c r="I358" s="415"/>
      <c r="J358" s="415"/>
      <c r="K358" s="415"/>
      <c r="L358" s="416"/>
      <c r="M358" s="45"/>
      <c r="N358" s="403" t="str">
        <f t="shared" si="176"/>
        <v/>
      </c>
      <c r="O358" s="404" t="str">
        <f t="shared" si="177"/>
        <v/>
      </c>
      <c r="P358" s="403" t="str">
        <f t="shared" si="193"/>
        <v/>
      </c>
      <c r="Q358" s="405" t="str">
        <f t="shared" si="178"/>
        <v/>
      </c>
      <c r="R358" s="406" t="str">
        <f t="shared" si="194"/>
        <v/>
      </c>
      <c r="S358" s="404" t="str">
        <f t="shared" si="179"/>
        <v/>
      </c>
      <c r="T358" s="403" t="str">
        <f t="shared" si="195"/>
        <v/>
      </c>
      <c r="U358" s="405" t="str">
        <f t="shared" si="180"/>
        <v/>
      </c>
      <c r="V358" s="406" t="str">
        <f t="shared" si="196"/>
        <v/>
      </c>
      <c r="W358" s="404" t="str">
        <f t="shared" si="181"/>
        <v/>
      </c>
      <c r="X358" s="403" t="str">
        <f t="shared" si="197"/>
        <v/>
      </c>
      <c r="Y358" s="407" t="str">
        <f t="shared" si="182"/>
        <v/>
      </c>
      <c r="Z358" s="408" t="str">
        <f t="shared" si="198"/>
        <v/>
      </c>
      <c r="AA358" s="404" t="str">
        <f t="shared" si="183"/>
        <v/>
      </c>
      <c r="AB358" s="403" t="str">
        <f t="shared" si="199"/>
        <v/>
      </c>
      <c r="AC358" s="405" t="str">
        <f t="shared" si="184"/>
        <v/>
      </c>
      <c r="AD358" s="406" t="str">
        <f t="shared" si="185"/>
        <v/>
      </c>
      <c r="AE358" s="404" t="str">
        <f t="shared" si="186"/>
        <v/>
      </c>
      <c r="AF358" s="403" t="str">
        <f t="shared" si="200"/>
        <v/>
      </c>
      <c r="AG358" s="407" t="str">
        <f t="shared" si="187"/>
        <v/>
      </c>
      <c r="AH358" s="408" t="str">
        <f t="shared" si="201"/>
        <v/>
      </c>
      <c r="AI358" s="404" t="str">
        <f t="shared" si="188"/>
        <v/>
      </c>
      <c r="AJ358" s="403" t="str">
        <f t="shared" si="202"/>
        <v/>
      </c>
      <c r="AK358" s="405" t="str">
        <f t="shared" si="189"/>
        <v/>
      </c>
      <c r="AL358" s="406" t="str">
        <f t="shared" si="203"/>
        <v/>
      </c>
      <c r="AM358" s="404" t="str">
        <f t="shared" si="190"/>
        <v/>
      </c>
      <c r="AN358" s="38"/>
    </row>
    <row r="359" spans="1:40" ht="12.75" x14ac:dyDescent="0.2">
      <c r="A359" s="26"/>
      <c r="B359" s="38"/>
      <c r="C359" s="799"/>
      <c r="D359" s="800"/>
      <c r="E359" s="415"/>
      <c r="F359" s="415"/>
      <c r="G359" s="415"/>
      <c r="H359" s="415"/>
      <c r="I359" s="415"/>
      <c r="J359" s="415"/>
      <c r="K359" s="415"/>
      <c r="L359" s="416"/>
      <c r="M359" s="45"/>
      <c r="N359" s="403" t="str">
        <f t="shared" si="176"/>
        <v/>
      </c>
      <c r="O359" s="404" t="str">
        <f t="shared" si="177"/>
        <v/>
      </c>
      <c r="P359" s="403" t="str">
        <f t="shared" si="193"/>
        <v/>
      </c>
      <c r="Q359" s="405" t="str">
        <f t="shared" si="178"/>
        <v/>
      </c>
      <c r="R359" s="406" t="str">
        <f t="shared" si="194"/>
        <v/>
      </c>
      <c r="S359" s="404" t="str">
        <f t="shared" si="179"/>
        <v/>
      </c>
      <c r="T359" s="403" t="str">
        <f t="shared" si="195"/>
        <v/>
      </c>
      <c r="U359" s="405" t="str">
        <f t="shared" si="180"/>
        <v/>
      </c>
      <c r="V359" s="406" t="str">
        <f t="shared" si="196"/>
        <v/>
      </c>
      <c r="W359" s="404" t="str">
        <f t="shared" si="181"/>
        <v/>
      </c>
      <c r="X359" s="403" t="str">
        <f t="shared" si="197"/>
        <v/>
      </c>
      <c r="Y359" s="407" t="str">
        <f t="shared" si="182"/>
        <v/>
      </c>
      <c r="Z359" s="408" t="str">
        <f t="shared" si="198"/>
        <v/>
      </c>
      <c r="AA359" s="404" t="str">
        <f t="shared" si="183"/>
        <v/>
      </c>
      <c r="AB359" s="403" t="str">
        <f t="shared" si="199"/>
        <v/>
      </c>
      <c r="AC359" s="405" t="str">
        <f t="shared" si="184"/>
        <v/>
      </c>
      <c r="AD359" s="406" t="str">
        <f t="shared" si="185"/>
        <v/>
      </c>
      <c r="AE359" s="404" t="str">
        <f t="shared" si="186"/>
        <v/>
      </c>
      <c r="AF359" s="403" t="str">
        <f t="shared" si="200"/>
        <v/>
      </c>
      <c r="AG359" s="407" t="str">
        <f t="shared" si="187"/>
        <v/>
      </c>
      <c r="AH359" s="408" t="str">
        <f t="shared" si="201"/>
        <v/>
      </c>
      <c r="AI359" s="404" t="str">
        <f t="shared" si="188"/>
        <v/>
      </c>
      <c r="AJ359" s="403" t="str">
        <f t="shared" si="202"/>
        <v/>
      </c>
      <c r="AK359" s="405" t="str">
        <f t="shared" si="189"/>
        <v/>
      </c>
      <c r="AL359" s="406" t="str">
        <f t="shared" si="203"/>
        <v/>
      </c>
      <c r="AM359" s="404" t="str">
        <f t="shared" si="190"/>
        <v/>
      </c>
      <c r="AN359" s="38"/>
    </row>
    <row r="360" spans="1:40" ht="12.75" x14ac:dyDescent="0.2">
      <c r="A360" s="26"/>
      <c r="B360" s="38"/>
      <c r="C360" s="799"/>
      <c r="D360" s="800"/>
      <c r="E360" s="415"/>
      <c r="F360" s="415"/>
      <c r="G360" s="415"/>
      <c r="H360" s="415"/>
      <c r="I360" s="415"/>
      <c r="J360" s="415"/>
      <c r="K360" s="415"/>
      <c r="L360" s="416"/>
      <c r="M360" s="45"/>
      <c r="N360" s="403" t="str">
        <f t="shared" si="176"/>
        <v/>
      </c>
      <c r="O360" s="404" t="str">
        <f t="shared" si="177"/>
        <v/>
      </c>
      <c r="P360" s="403" t="str">
        <f>IF(G360=0,"",IF(F360=0,"",G360-F360))</f>
        <v/>
      </c>
      <c r="Q360" s="405" t="str">
        <f t="shared" si="178"/>
        <v/>
      </c>
      <c r="R360" s="406" t="str">
        <f>IF(P360="","",P360+N360)</f>
        <v/>
      </c>
      <c r="S360" s="404" t="str">
        <f t="shared" si="179"/>
        <v/>
      </c>
      <c r="T360" s="403" t="str">
        <f>IF(H360=0,"",IF(G360=0,"",H360-G360))</f>
        <v/>
      </c>
      <c r="U360" s="405" t="str">
        <f t="shared" si="180"/>
        <v/>
      </c>
      <c r="V360" s="406" t="str">
        <f>IF(T360="","",T360+R360)</f>
        <v/>
      </c>
      <c r="W360" s="404" t="str">
        <f t="shared" si="181"/>
        <v/>
      </c>
      <c r="X360" s="403" t="str">
        <f>IF(I360=0,"",IF(H360=0,"",I360-H360))</f>
        <v/>
      </c>
      <c r="Y360" s="407" t="str">
        <f t="shared" si="182"/>
        <v/>
      </c>
      <c r="Z360" s="408" t="str">
        <f>IF(X360="","",X360+V360)</f>
        <v/>
      </c>
      <c r="AA360" s="404" t="str">
        <f t="shared" si="183"/>
        <v/>
      </c>
      <c r="AB360" s="403" t="str">
        <f>IF(J360=0,"",IF(I360=0,"",J360-I360))</f>
        <v/>
      </c>
      <c r="AC360" s="405" t="str">
        <f t="shared" si="184"/>
        <v/>
      </c>
      <c r="AD360" s="406" t="str">
        <f t="shared" si="185"/>
        <v/>
      </c>
      <c r="AE360" s="404" t="str">
        <f t="shared" si="186"/>
        <v/>
      </c>
      <c r="AF360" s="403" t="str">
        <f>IF(K360=0,"",IF(J360=0,"",K360-J360))</f>
        <v/>
      </c>
      <c r="AG360" s="407" t="str">
        <f t="shared" si="187"/>
        <v/>
      </c>
      <c r="AH360" s="408" t="str">
        <f>IF(AF360="","",AF360+AD360)</f>
        <v/>
      </c>
      <c r="AI360" s="404" t="str">
        <f t="shared" si="188"/>
        <v/>
      </c>
      <c r="AJ360" s="403" t="str">
        <f>IF(L360=0,"",IF(K360=0,"",L360-K360))</f>
        <v/>
      </c>
      <c r="AK360" s="405" t="str">
        <f t="shared" si="189"/>
        <v/>
      </c>
      <c r="AL360" s="406" t="str">
        <f>IF(AJ360="","",AJ360+AH360)</f>
        <v/>
      </c>
      <c r="AM360" s="404" t="str">
        <f t="shared" si="190"/>
        <v/>
      </c>
      <c r="AN360" s="38"/>
    </row>
    <row r="361" spans="1:40" ht="12.75" x14ac:dyDescent="0.2">
      <c r="A361" s="26"/>
      <c r="B361" s="38"/>
      <c r="C361" s="799"/>
      <c r="D361" s="800"/>
      <c r="E361" s="423"/>
      <c r="F361" s="423"/>
      <c r="G361" s="423"/>
      <c r="H361" s="423"/>
      <c r="I361" s="423"/>
      <c r="J361" s="423"/>
      <c r="K361" s="423"/>
      <c r="L361" s="424"/>
      <c r="M361" s="45"/>
      <c r="N361" s="403" t="str">
        <f t="shared" si="176"/>
        <v/>
      </c>
      <c r="O361" s="404" t="str">
        <f t="shared" si="177"/>
        <v/>
      </c>
      <c r="P361" s="403" t="str">
        <f t="shared" si="193"/>
        <v/>
      </c>
      <c r="Q361" s="405" t="str">
        <f t="shared" si="178"/>
        <v/>
      </c>
      <c r="R361" s="406" t="str">
        <f t="shared" si="194"/>
        <v/>
      </c>
      <c r="S361" s="404" t="str">
        <f t="shared" si="179"/>
        <v/>
      </c>
      <c r="T361" s="403" t="str">
        <f t="shared" si="195"/>
        <v/>
      </c>
      <c r="U361" s="405" t="str">
        <f t="shared" si="180"/>
        <v/>
      </c>
      <c r="V361" s="406" t="str">
        <f t="shared" si="196"/>
        <v/>
      </c>
      <c r="W361" s="404" t="str">
        <f t="shared" si="181"/>
        <v/>
      </c>
      <c r="X361" s="403" t="str">
        <f t="shared" si="197"/>
        <v/>
      </c>
      <c r="Y361" s="407" t="str">
        <f t="shared" si="182"/>
        <v/>
      </c>
      <c r="Z361" s="408" t="str">
        <f t="shared" si="198"/>
        <v/>
      </c>
      <c r="AA361" s="404" t="str">
        <f t="shared" si="183"/>
        <v/>
      </c>
      <c r="AB361" s="403" t="str">
        <f t="shared" si="199"/>
        <v/>
      </c>
      <c r="AC361" s="405" t="str">
        <f t="shared" si="184"/>
        <v/>
      </c>
      <c r="AD361" s="406" t="str">
        <f t="shared" si="185"/>
        <v/>
      </c>
      <c r="AE361" s="404" t="str">
        <f t="shared" si="186"/>
        <v/>
      </c>
      <c r="AF361" s="403" t="str">
        <f t="shared" si="200"/>
        <v/>
      </c>
      <c r="AG361" s="407" t="str">
        <f t="shared" si="187"/>
        <v/>
      </c>
      <c r="AH361" s="408" t="str">
        <f t="shared" si="201"/>
        <v/>
      </c>
      <c r="AI361" s="404" t="str">
        <f t="shared" si="188"/>
        <v/>
      </c>
      <c r="AJ361" s="403" t="str">
        <f t="shared" si="202"/>
        <v/>
      </c>
      <c r="AK361" s="405" t="str">
        <f t="shared" si="189"/>
        <v/>
      </c>
      <c r="AL361" s="406" t="str">
        <f t="shared" si="203"/>
        <v/>
      </c>
      <c r="AM361" s="404" t="str">
        <f t="shared" si="190"/>
        <v/>
      </c>
      <c r="AN361" s="38"/>
    </row>
    <row r="362" spans="1:40" ht="12.75" x14ac:dyDescent="0.2">
      <c r="A362" s="26"/>
      <c r="B362" s="38"/>
      <c r="C362" s="799"/>
      <c r="D362" s="800"/>
      <c r="E362" s="415"/>
      <c r="F362" s="415"/>
      <c r="G362" s="415"/>
      <c r="H362" s="415"/>
      <c r="I362" s="415"/>
      <c r="J362" s="415"/>
      <c r="K362" s="415"/>
      <c r="L362" s="416"/>
      <c r="M362" s="45"/>
      <c r="N362" s="403" t="str">
        <f t="shared" si="176"/>
        <v/>
      </c>
      <c r="O362" s="404" t="str">
        <f t="shared" si="177"/>
        <v/>
      </c>
      <c r="P362" s="403" t="str">
        <f t="shared" si="193"/>
        <v/>
      </c>
      <c r="Q362" s="405" t="str">
        <f t="shared" si="178"/>
        <v/>
      </c>
      <c r="R362" s="406" t="str">
        <f t="shared" si="194"/>
        <v/>
      </c>
      <c r="S362" s="404" t="str">
        <f t="shared" si="179"/>
        <v/>
      </c>
      <c r="T362" s="403" t="str">
        <f t="shared" si="195"/>
        <v/>
      </c>
      <c r="U362" s="405" t="str">
        <f t="shared" si="180"/>
        <v/>
      </c>
      <c r="V362" s="406" t="str">
        <f t="shared" si="196"/>
        <v/>
      </c>
      <c r="W362" s="404" t="str">
        <f t="shared" si="181"/>
        <v/>
      </c>
      <c r="X362" s="403" t="str">
        <f t="shared" si="197"/>
        <v/>
      </c>
      <c r="Y362" s="407" t="str">
        <f t="shared" si="182"/>
        <v/>
      </c>
      <c r="Z362" s="408" t="str">
        <f t="shared" si="198"/>
        <v/>
      </c>
      <c r="AA362" s="404" t="str">
        <f t="shared" si="183"/>
        <v/>
      </c>
      <c r="AB362" s="403" t="str">
        <f t="shared" si="199"/>
        <v/>
      </c>
      <c r="AC362" s="405" t="str">
        <f t="shared" si="184"/>
        <v/>
      </c>
      <c r="AD362" s="406" t="str">
        <f t="shared" si="185"/>
        <v/>
      </c>
      <c r="AE362" s="404" t="str">
        <f t="shared" si="186"/>
        <v/>
      </c>
      <c r="AF362" s="403" t="str">
        <f t="shared" si="200"/>
        <v/>
      </c>
      <c r="AG362" s="407" t="str">
        <f t="shared" si="187"/>
        <v/>
      </c>
      <c r="AH362" s="408" t="str">
        <f t="shared" si="201"/>
        <v/>
      </c>
      <c r="AI362" s="404" t="str">
        <f t="shared" si="188"/>
        <v/>
      </c>
      <c r="AJ362" s="403" t="str">
        <f t="shared" si="202"/>
        <v/>
      </c>
      <c r="AK362" s="405" t="str">
        <f t="shared" si="189"/>
        <v/>
      </c>
      <c r="AL362" s="406" t="str">
        <f t="shared" si="203"/>
        <v/>
      </c>
      <c r="AM362" s="404" t="str">
        <f t="shared" si="190"/>
        <v/>
      </c>
      <c r="AN362" s="38"/>
    </row>
    <row r="363" spans="1:40" ht="12.75" x14ac:dyDescent="0.2">
      <c r="A363" s="26"/>
      <c r="B363" s="38"/>
      <c r="C363" s="799"/>
      <c r="D363" s="800"/>
      <c r="E363" s="415"/>
      <c r="F363" s="415"/>
      <c r="G363" s="415"/>
      <c r="H363" s="415"/>
      <c r="I363" s="415"/>
      <c r="J363" s="415"/>
      <c r="K363" s="415"/>
      <c r="L363" s="416"/>
      <c r="M363" s="45"/>
      <c r="N363" s="403" t="str">
        <f t="shared" si="176"/>
        <v/>
      </c>
      <c r="O363" s="404" t="str">
        <f t="shared" si="177"/>
        <v/>
      </c>
      <c r="P363" s="403" t="str">
        <f t="shared" si="193"/>
        <v/>
      </c>
      <c r="Q363" s="405" t="str">
        <f t="shared" si="178"/>
        <v/>
      </c>
      <c r="R363" s="406" t="str">
        <f t="shared" si="194"/>
        <v/>
      </c>
      <c r="S363" s="404" t="str">
        <f t="shared" si="179"/>
        <v/>
      </c>
      <c r="T363" s="403" t="str">
        <f t="shared" si="195"/>
        <v/>
      </c>
      <c r="U363" s="405" t="str">
        <f t="shared" si="180"/>
        <v/>
      </c>
      <c r="V363" s="406" t="str">
        <f t="shared" si="196"/>
        <v/>
      </c>
      <c r="W363" s="404" t="str">
        <f t="shared" si="181"/>
        <v/>
      </c>
      <c r="X363" s="403" t="str">
        <f t="shared" si="197"/>
        <v/>
      </c>
      <c r="Y363" s="407" t="str">
        <f t="shared" si="182"/>
        <v/>
      </c>
      <c r="Z363" s="408" t="str">
        <f t="shared" si="198"/>
        <v/>
      </c>
      <c r="AA363" s="404" t="str">
        <f t="shared" si="183"/>
        <v/>
      </c>
      <c r="AB363" s="403" t="str">
        <f t="shared" si="199"/>
        <v/>
      </c>
      <c r="AC363" s="405" t="str">
        <f t="shared" si="184"/>
        <v/>
      </c>
      <c r="AD363" s="406" t="str">
        <f t="shared" si="185"/>
        <v/>
      </c>
      <c r="AE363" s="404" t="str">
        <f t="shared" si="186"/>
        <v/>
      </c>
      <c r="AF363" s="403" t="str">
        <f t="shared" si="200"/>
        <v/>
      </c>
      <c r="AG363" s="407" t="str">
        <f t="shared" si="187"/>
        <v/>
      </c>
      <c r="AH363" s="408" t="str">
        <f t="shared" si="201"/>
        <v/>
      </c>
      <c r="AI363" s="404" t="str">
        <f t="shared" si="188"/>
        <v/>
      </c>
      <c r="AJ363" s="403" t="str">
        <f t="shared" si="202"/>
        <v/>
      </c>
      <c r="AK363" s="405" t="str">
        <f t="shared" si="189"/>
        <v/>
      </c>
      <c r="AL363" s="406" t="str">
        <f t="shared" si="203"/>
        <v/>
      </c>
      <c r="AM363" s="404" t="str">
        <f t="shared" si="190"/>
        <v/>
      </c>
      <c r="AN363" s="38"/>
    </row>
    <row r="364" spans="1:40" ht="13.5" thickBot="1" x14ac:dyDescent="0.25">
      <c r="A364" s="26"/>
      <c r="B364" s="38"/>
      <c r="C364" s="808"/>
      <c r="D364" s="809"/>
      <c r="E364" s="417"/>
      <c r="F364" s="417"/>
      <c r="G364" s="417"/>
      <c r="H364" s="417"/>
      <c r="I364" s="417"/>
      <c r="J364" s="417"/>
      <c r="K364" s="417"/>
      <c r="L364" s="418"/>
      <c r="M364" s="45"/>
      <c r="N364" s="409" t="str">
        <f t="shared" si="176"/>
        <v/>
      </c>
      <c r="O364" s="410" t="str">
        <f t="shared" si="177"/>
        <v/>
      </c>
      <c r="P364" s="409" t="str">
        <f t="shared" si="193"/>
        <v/>
      </c>
      <c r="Q364" s="411" t="str">
        <f t="shared" si="178"/>
        <v/>
      </c>
      <c r="R364" s="412" t="str">
        <f t="shared" si="194"/>
        <v/>
      </c>
      <c r="S364" s="410" t="str">
        <f t="shared" si="179"/>
        <v/>
      </c>
      <c r="T364" s="409" t="str">
        <f t="shared" si="195"/>
        <v/>
      </c>
      <c r="U364" s="411" t="str">
        <f t="shared" si="180"/>
        <v/>
      </c>
      <c r="V364" s="412" t="str">
        <f t="shared" si="196"/>
        <v/>
      </c>
      <c r="W364" s="410" t="str">
        <f t="shared" si="181"/>
        <v/>
      </c>
      <c r="X364" s="409" t="str">
        <f t="shared" si="197"/>
        <v/>
      </c>
      <c r="Y364" s="413" t="str">
        <f t="shared" si="182"/>
        <v/>
      </c>
      <c r="Z364" s="414" t="str">
        <f t="shared" si="198"/>
        <v/>
      </c>
      <c r="AA364" s="410" t="str">
        <f t="shared" si="183"/>
        <v/>
      </c>
      <c r="AB364" s="409" t="str">
        <f t="shared" si="199"/>
        <v/>
      </c>
      <c r="AC364" s="411" t="str">
        <f t="shared" si="184"/>
        <v/>
      </c>
      <c r="AD364" s="412" t="str">
        <f t="shared" si="185"/>
        <v/>
      </c>
      <c r="AE364" s="410" t="str">
        <f t="shared" si="186"/>
        <v/>
      </c>
      <c r="AF364" s="409" t="str">
        <f t="shared" si="200"/>
        <v/>
      </c>
      <c r="AG364" s="413" t="str">
        <f t="shared" si="187"/>
        <v/>
      </c>
      <c r="AH364" s="414" t="str">
        <f t="shared" si="201"/>
        <v/>
      </c>
      <c r="AI364" s="410" t="str">
        <f t="shared" si="188"/>
        <v/>
      </c>
      <c r="AJ364" s="409" t="str">
        <f t="shared" si="202"/>
        <v/>
      </c>
      <c r="AK364" s="411" t="str">
        <f t="shared" si="189"/>
        <v/>
      </c>
      <c r="AL364" s="412" t="str">
        <f t="shared" si="203"/>
        <v/>
      </c>
      <c r="AM364" s="410" t="str">
        <f t="shared" si="190"/>
        <v/>
      </c>
      <c r="AN364" s="38"/>
    </row>
    <row r="365" spans="1:40" ht="12.75" thickTop="1" x14ac:dyDescent="0.2">
      <c r="A365" s="28"/>
      <c r="B365" s="38"/>
      <c r="C365" s="38"/>
      <c r="D365" s="38"/>
      <c r="E365" s="38"/>
      <c r="F365" s="38"/>
      <c r="G365" s="38"/>
      <c r="H365" s="38"/>
      <c r="I365" s="38"/>
      <c r="J365" s="38"/>
      <c r="K365" s="38"/>
      <c r="L365" s="38"/>
      <c r="M365" s="38"/>
      <c r="N365" s="275"/>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row>
    <row r="366" spans="1:40" x14ac:dyDescent="0.2">
      <c r="A366" s="25"/>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row>
    <row r="367" spans="1:40" ht="15.75" x14ac:dyDescent="0.25">
      <c r="A367" s="26"/>
      <c r="B367" s="38"/>
      <c r="C367" s="84" t="s">
        <v>122</v>
      </c>
      <c r="D367" s="38"/>
      <c r="E367" s="38"/>
      <c r="F367" s="38"/>
      <c r="G367" s="38"/>
      <c r="H367" s="38"/>
      <c r="I367" s="38"/>
      <c r="J367" s="38"/>
      <c r="K367" s="38"/>
      <c r="L367" s="38"/>
      <c r="M367" s="38"/>
      <c r="N367" s="84"/>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row>
    <row r="368" spans="1:40" ht="12.75" thickBot="1" x14ac:dyDescent="0.25">
      <c r="A368" s="26"/>
      <c r="B368" s="38"/>
      <c r="C368" s="38"/>
      <c r="D368" s="38"/>
      <c r="E368" s="38"/>
      <c r="F368" s="38"/>
      <c r="G368" s="38"/>
      <c r="H368" s="38"/>
      <c r="I368" s="38"/>
      <c r="J368" s="38"/>
      <c r="K368" s="38"/>
      <c r="L368" s="38"/>
      <c r="M368" s="38"/>
      <c r="N368" s="277"/>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row>
    <row r="369" spans="1:40" ht="17.25" thickTop="1" thickBot="1" x14ac:dyDescent="0.3">
      <c r="A369" s="26"/>
      <c r="B369" s="38"/>
      <c r="C369" s="38"/>
      <c r="D369" s="38"/>
      <c r="E369" s="38"/>
      <c r="F369" s="805" t="s">
        <v>123</v>
      </c>
      <c r="G369" s="806"/>
      <c r="H369" s="806"/>
      <c r="I369" s="806"/>
      <c r="J369" s="806"/>
      <c r="K369" s="806"/>
      <c r="L369" s="807"/>
      <c r="M369" s="45"/>
      <c r="N369" s="810" t="s">
        <v>906</v>
      </c>
      <c r="O369" s="811"/>
      <c r="P369" s="811"/>
      <c r="Q369" s="811"/>
      <c r="R369" s="811"/>
      <c r="S369" s="811"/>
      <c r="T369" s="811"/>
      <c r="U369" s="811"/>
      <c r="V369" s="811"/>
      <c r="W369" s="811"/>
      <c r="X369" s="811"/>
      <c r="Y369" s="811"/>
      <c r="Z369" s="811"/>
      <c r="AA369" s="811"/>
      <c r="AB369" s="811"/>
      <c r="AC369" s="811"/>
      <c r="AD369" s="811"/>
      <c r="AE369" s="811"/>
      <c r="AF369" s="811"/>
      <c r="AG369" s="811"/>
      <c r="AH369" s="811"/>
      <c r="AI369" s="811"/>
      <c r="AJ369" s="811"/>
      <c r="AK369" s="811"/>
      <c r="AL369" s="811"/>
      <c r="AM369" s="812"/>
      <c r="AN369" s="38"/>
    </row>
    <row r="370" spans="1:40" ht="39" customHeight="1" thickTop="1" x14ac:dyDescent="0.2">
      <c r="A370" s="26"/>
      <c r="B370" s="38"/>
      <c r="C370" s="801" t="s">
        <v>106</v>
      </c>
      <c r="D370" s="802"/>
      <c r="E370" s="292" t="s">
        <v>918</v>
      </c>
      <c r="F370" s="293" t="s">
        <v>107</v>
      </c>
      <c r="G370" s="293" t="s">
        <v>108</v>
      </c>
      <c r="H370" s="293" t="s">
        <v>109</v>
      </c>
      <c r="I370" s="293" t="s">
        <v>110</v>
      </c>
      <c r="J370" s="293" t="s">
        <v>111</v>
      </c>
      <c r="K370" s="293" t="s">
        <v>112</v>
      </c>
      <c r="L370" s="294" t="s">
        <v>113</v>
      </c>
      <c r="M370" s="38"/>
      <c r="N370" s="796" t="s">
        <v>114</v>
      </c>
      <c r="O370" s="798"/>
      <c r="P370" s="796" t="s">
        <v>115</v>
      </c>
      <c r="Q370" s="797"/>
      <c r="R370" s="797"/>
      <c r="S370" s="798"/>
      <c r="T370" s="796" t="s">
        <v>116</v>
      </c>
      <c r="U370" s="797"/>
      <c r="V370" s="797"/>
      <c r="W370" s="798"/>
      <c r="X370" s="793" t="s">
        <v>117</v>
      </c>
      <c r="Y370" s="794"/>
      <c r="Z370" s="794"/>
      <c r="AA370" s="794"/>
      <c r="AB370" s="793" t="s">
        <v>118</v>
      </c>
      <c r="AC370" s="794"/>
      <c r="AD370" s="794"/>
      <c r="AE370" s="795"/>
      <c r="AF370" s="793" t="s">
        <v>119</v>
      </c>
      <c r="AG370" s="794"/>
      <c r="AH370" s="794"/>
      <c r="AI370" s="795"/>
      <c r="AJ370" s="793" t="s">
        <v>120</v>
      </c>
      <c r="AK370" s="794"/>
      <c r="AL370" s="794"/>
      <c r="AM370" s="795"/>
      <c r="AN370" s="38"/>
    </row>
    <row r="371" spans="1:40" ht="12.75" x14ac:dyDescent="0.2">
      <c r="A371" s="26"/>
      <c r="B371" s="38"/>
      <c r="C371" s="297"/>
      <c r="D371" s="88"/>
      <c r="E371" s="160" t="str">
        <f>E344</f>
        <v>2014/15</v>
      </c>
      <c r="F371" s="160" t="str">
        <f t="shared" ref="F371:L371" si="210">F344</f>
        <v>2015/16</v>
      </c>
      <c r="G371" s="160" t="str">
        <f t="shared" si="210"/>
        <v>2016/17</v>
      </c>
      <c r="H371" s="160" t="str">
        <f t="shared" si="210"/>
        <v>2017/18</v>
      </c>
      <c r="I371" s="160" t="str">
        <f t="shared" si="210"/>
        <v>2018/19</v>
      </c>
      <c r="J371" s="160" t="str">
        <f t="shared" si="210"/>
        <v>2019/20</v>
      </c>
      <c r="K371" s="160" t="str">
        <f t="shared" si="210"/>
        <v>2020/21</v>
      </c>
      <c r="L371" s="182" t="str">
        <f t="shared" si="210"/>
        <v>2021/22</v>
      </c>
      <c r="M371" s="45"/>
      <c r="N371" s="251" t="s">
        <v>102</v>
      </c>
      <c r="O371" s="248" t="s">
        <v>125</v>
      </c>
      <c r="P371" s="251" t="s">
        <v>102</v>
      </c>
      <c r="Q371" s="247" t="s">
        <v>125</v>
      </c>
      <c r="R371" s="244" t="s">
        <v>103</v>
      </c>
      <c r="S371" s="248" t="s">
        <v>125</v>
      </c>
      <c r="T371" s="251" t="s">
        <v>102</v>
      </c>
      <c r="U371" s="244" t="s">
        <v>125</v>
      </c>
      <c r="V371" s="245" t="s">
        <v>103</v>
      </c>
      <c r="W371" s="248" t="s">
        <v>125</v>
      </c>
      <c r="X371" s="251" t="s">
        <v>102</v>
      </c>
      <c r="Y371" s="244" t="s">
        <v>125</v>
      </c>
      <c r="Z371" s="245" t="s">
        <v>103</v>
      </c>
      <c r="AA371" s="243" t="s">
        <v>125</v>
      </c>
      <c r="AB371" s="251" t="s">
        <v>102</v>
      </c>
      <c r="AC371" s="247" t="s">
        <v>125</v>
      </c>
      <c r="AD371" s="244" t="s">
        <v>103</v>
      </c>
      <c r="AE371" s="248" t="s">
        <v>125</v>
      </c>
      <c r="AF371" s="251" t="s">
        <v>102</v>
      </c>
      <c r="AG371" s="244" t="s">
        <v>125</v>
      </c>
      <c r="AH371" s="245" t="s">
        <v>103</v>
      </c>
      <c r="AI371" s="248" t="s">
        <v>125</v>
      </c>
      <c r="AJ371" s="251" t="s">
        <v>102</v>
      </c>
      <c r="AK371" s="247" t="s">
        <v>125</v>
      </c>
      <c r="AL371" s="244" t="s">
        <v>103</v>
      </c>
      <c r="AM371" s="248" t="s">
        <v>125</v>
      </c>
      <c r="AN371" s="38"/>
    </row>
    <row r="372" spans="1:40" ht="12.75" x14ac:dyDescent="0.2">
      <c r="A372" s="26"/>
      <c r="B372" s="38"/>
      <c r="C372" s="799" t="s">
        <v>969</v>
      </c>
      <c r="D372" s="800"/>
      <c r="E372" s="415">
        <v>750</v>
      </c>
      <c r="F372" s="415">
        <v>772</v>
      </c>
      <c r="G372" s="415">
        <v>795</v>
      </c>
      <c r="H372" s="415">
        <f>ROUND(+G372*1.03,0)</f>
        <v>819</v>
      </c>
      <c r="I372" s="415">
        <f t="shared" ref="I372:L372" si="211">ROUND(+H372*1.03,0)</f>
        <v>844</v>
      </c>
      <c r="J372" s="415">
        <f t="shared" si="211"/>
        <v>869</v>
      </c>
      <c r="K372" s="415">
        <f t="shared" si="211"/>
        <v>895</v>
      </c>
      <c r="L372" s="415">
        <f t="shared" si="211"/>
        <v>922</v>
      </c>
      <c r="M372" s="45"/>
      <c r="N372" s="403">
        <f t="shared" ref="N372:N391" si="212">IF(F372=0,"",IF(E372=0,"",F372-E372))</f>
        <v>22</v>
      </c>
      <c r="O372" s="404">
        <f t="shared" ref="O372:O391" si="213">IF(N372="","",N372/E372)</f>
        <v>2.9333333333333333E-2</v>
      </c>
      <c r="P372" s="403">
        <f>IF(G372=0,"",IF(F372=0,"",G372-F372))</f>
        <v>23</v>
      </c>
      <c r="Q372" s="405">
        <f t="shared" ref="Q372:Q391" si="214">IF(P372="","",P372/F372)</f>
        <v>2.9792746113989636E-2</v>
      </c>
      <c r="R372" s="406">
        <f>IF(P372="","",P372+N372)</f>
        <v>45</v>
      </c>
      <c r="S372" s="404">
        <f t="shared" ref="S372:S391" si="215">IF(R372="","",R372/E372)</f>
        <v>0.06</v>
      </c>
      <c r="T372" s="403">
        <f>IF(H372=0,"",IF(G372=0,"",H372-G372))</f>
        <v>24</v>
      </c>
      <c r="U372" s="407">
        <f t="shared" ref="U372:U391" si="216">IF(T372="","",T372/G372)</f>
        <v>3.0188679245283019E-2</v>
      </c>
      <c r="V372" s="408">
        <f>IF(T372="","",T372+R372)</f>
        <v>69</v>
      </c>
      <c r="W372" s="404">
        <f t="shared" ref="W372:W391" si="217">IF(V372="","",V372/E372)</f>
        <v>9.1999999999999998E-2</v>
      </c>
      <c r="X372" s="403">
        <f>IF(I372=0,"",IF(H372=0,"",I372-H372))</f>
        <v>25</v>
      </c>
      <c r="Y372" s="407">
        <f t="shared" ref="Y372:Y391" si="218">IF(X372="","",X372/H372)</f>
        <v>3.0525030525030524E-2</v>
      </c>
      <c r="Z372" s="408">
        <f>IF(X372="","",X372+V372)</f>
        <v>94</v>
      </c>
      <c r="AA372" s="405">
        <f t="shared" ref="AA372:AA391" si="219">IF(Z372="","",Z372/E372)</f>
        <v>0.12533333333333332</v>
      </c>
      <c r="AB372" s="403">
        <f>IF(J372=0,"",IF(I372=0,"",J372-I372))</f>
        <v>25</v>
      </c>
      <c r="AC372" s="405">
        <f t="shared" ref="AC372:AC391" si="220">IF(AB372="","",AB372/I372)</f>
        <v>2.9620853080568721E-2</v>
      </c>
      <c r="AD372" s="406">
        <f t="shared" ref="AD372:AD391" si="221">IF(AB372="","",AB372+Z372)</f>
        <v>119</v>
      </c>
      <c r="AE372" s="404">
        <f t="shared" ref="AE372:AE391" si="222">IF(AD372="","",AD372/E372)</f>
        <v>0.15866666666666668</v>
      </c>
      <c r="AF372" s="403">
        <f>IF(K372=0,"",IF(J372=0,"",K372-J372))</f>
        <v>26</v>
      </c>
      <c r="AG372" s="407">
        <f t="shared" ref="AG372:AG391" si="223">IF(AF372="","",AF372/J372)</f>
        <v>2.9919447640966629E-2</v>
      </c>
      <c r="AH372" s="408">
        <f>IF(AF372="","",AF372+AD372)</f>
        <v>145</v>
      </c>
      <c r="AI372" s="404">
        <f t="shared" ref="AI372:AI391" si="224">IF(AH372="","",AH372/E372)</f>
        <v>0.19333333333333333</v>
      </c>
      <c r="AJ372" s="403">
        <f>IF(L372=0,"",IF(K372=0,"",L372-K372))</f>
        <v>27</v>
      </c>
      <c r="AK372" s="405">
        <f t="shared" ref="AK372:AK391" si="225">IF(AJ372="","",AJ372/K372)</f>
        <v>3.0167597765363128E-2</v>
      </c>
      <c r="AL372" s="406">
        <f>IF(AJ372="","",AJ372+AH372)</f>
        <v>172</v>
      </c>
      <c r="AM372" s="404">
        <f t="shared" ref="AM372:AM391" si="226">IF(AL372="","",AL372/E372)</f>
        <v>0.22933333333333333</v>
      </c>
      <c r="AN372" s="38"/>
    </row>
    <row r="373" spans="1:40" ht="12.75" x14ac:dyDescent="0.2">
      <c r="A373" s="26"/>
      <c r="B373" s="38"/>
      <c r="C373" s="799" t="s">
        <v>970</v>
      </c>
      <c r="D373" s="800"/>
      <c r="E373" s="415">
        <v>1049</v>
      </c>
      <c r="F373" s="415">
        <v>1080</v>
      </c>
      <c r="G373" s="415">
        <v>1112</v>
      </c>
      <c r="H373" s="415">
        <f t="shared" ref="H373:L380" si="227">ROUND(+G373*1.03,0)</f>
        <v>1145</v>
      </c>
      <c r="I373" s="415">
        <f t="shared" si="227"/>
        <v>1179</v>
      </c>
      <c r="J373" s="415">
        <f t="shared" si="227"/>
        <v>1214</v>
      </c>
      <c r="K373" s="415">
        <f t="shared" si="227"/>
        <v>1250</v>
      </c>
      <c r="L373" s="415">
        <f t="shared" si="227"/>
        <v>1288</v>
      </c>
      <c r="M373" s="45"/>
      <c r="N373" s="403">
        <f t="shared" si="212"/>
        <v>31</v>
      </c>
      <c r="O373" s="404">
        <f t="shared" si="213"/>
        <v>2.9551954242135366E-2</v>
      </c>
      <c r="P373" s="403">
        <f>IF(G373=0,"",IF(F373=0,"",G373-F373))</f>
        <v>32</v>
      </c>
      <c r="Q373" s="405">
        <f t="shared" si="214"/>
        <v>2.9629629629629631E-2</v>
      </c>
      <c r="R373" s="406">
        <f>IF(P373="","",P373+N373)</f>
        <v>63</v>
      </c>
      <c r="S373" s="404">
        <f t="shared" si="215"/>
        <v>6.0057197330791227E-2</v>
      </c>
      <c r="T373" s="403">
        <f>IF(H373=0,"",IF(G373=0,"",H373-G373))</f>
        <v>33</v>
      </c>
      <c r="U373" s="407">
        <f t="shared" si="216"/>
        <v>2.9676258992805755E-2</v>
      </c>
      <c r="V373" s="408">
        <f>IF(T373="","",T373+R373)</f>
        <v>96</v>
      </c>
      <c r="W373" s="404">
        <f t="shared" si="217"/>
        <v>9.1515729265967585E-2</v>
      </c>
      <c r="X373" s="403">
        <f>IF(I373=0,"",IF(H373=0,"",I373-H373))</f>
        <v>34</v>
      </c>
      <c r="Y373" s="407">
        <f t="shared" si="218"/>
        <v>2.9694323144104803E-2</v>
      </c>
      <c r="Z373" s="408">
        <f>IF(X373="","",X373+V373)</f>
        <v>130</v>
      </c>
      <c r="AA373" s="405">
        <f t="shared" si="219"/>
        <v>0.12392755004766444</v>
      </c>
      <c r="AB373" s="403">
        <f>IF(J373=0,"",IF(I373=0,"",J373-I373))</f>
        <v>35</v>
      </c>
      <c r="AC373" s="405">
        <f t="shared" si="220"/>
        <v>2.9686174724342665E-2</v>
      </c>
      <c r="AD373" s="406">
        <f t="shared" si="221"/>
        <v>165</v>
      </c>
      <c r="AE373" s="404">
        <f t="shared" si="222"/>
        <v>0.1572926596758818</v>
      </c>
      <c r="AF373" s="403">
        <f>IF(K373=0,"",IF(J373=0,"",K373-J373))</f>
        <v>36</v>
      </c>
      <c r="AG373" s="407">
        <f t="shared" si="223"/>
        <v>2.9654036243822075E-2</v>
      </c>
      <c r="AH373" s="408">
        <f>IF(AF373="","",AF373+AD373)</f>
        <v>201</v>
      </c>
      <c r="AI373" s="404">
        <f t="shared" si="224"/>
        <v>0.19161105815061963</v>
      </c>
      <c r="AJ373" s="403">
        <f>IF(L373=0,"",IF(K373=0,"",L373-K373))</f>
        <v>38</v>
      </c>
      <c r="AK373" s="405">
        <f t="shared" si="225"/>
        <v>3.04E-2</v>
      </c>
      <c r="AL373" s="406">
        <f>IF(AJ373="","",AJ373+AH373)</f>
        <v>239</v>
      </c>
      <c r="AM373" s="404">
        <f t="shared" si="226"/>
        <v>0.22783603431839847</v>
      </c>
      <c r="AN373" s="38"/>
    </row>
    <row r="374" spans="1:40" ht="12.75" x14ac:dyDescent="0.2">
      <c r="A374" s="26"/>
      <c r="B374" s="38"/>
      <c r="C374" s="799" t="s">
        <v>971</v>
      </c>
      <c r="D374" s="800"/>
      <c r="E374" s="415">
        <v>1603</v>
      </c>
      <c r="F374" s="415">
        <v>1651</v>
      </c>
      <c r="G374" s="415">
        <v>1701</v>
      </c>
      <c r="H374" s="415">
        <f t="shared" si="227"/>
        <v>1752</v>
      </c>
      <c r="I374" s="415">
        <f t="shared" si="227"/>
        <v>1805</v>
      </c>
      <c r="J374" s="415">
        <f t="shared" si="227"/>
        <v>1859</v>
      </c>
      <c r="K374" s="415">
        <f t="shared" si="227"/>
        <v>1915</v>
      </c>
      <c r="L374" s="415">
        <f t="shared" si="227"/>
        <v>1972</v>
      </c>
      <c r="M374" s="45"/>
      <c r="N374" s="403">
        <f t="shared" si="212"/>
        <v>48</v>
      </c>
      <c r="O374" s="404">
        <f t="shared" si="213"/>
        <v>2.9943855271366188E-2</v>
      </c>
      <c r="P374" s="403">
        <f t="shared" ref="P374:P391" si="228">IF(G374=0,"",IF(F374=0,"",G374-F374))</f>
        <v>50</v>
      </c>
      <c r="Q374" s="405">
        <f t="shared" si="214"/>
        <v>3.0284675953967291E-2</v>
      </c>
      <c r="R374" s="406">
        <f t="shared" ref="R374:R391" si="229">IF(P374="","",P374+N374)</f>
        <v>98</v>
      </c>
      <c r="S374" s="404">
        <f t="shared" si="215"/>
        <v>6.1135371179039298E-2</v>
      </c>
      <c r="T374" s="403">
        <f t="shared" ref="T374:T391" si="230">IF(H374=0,"",IF(G374=0,"",H374-G374))</f>
        <v>51</v>
      </c>
      <c r="U374" s="407">
        <f t="shared" si="216"/>
        <v>2.9982363315696647E-2</v>
      </c>
      <c r="V374" s="408">
        <f t="shared" ref="V374:V391" si="231">IF(T374="","",T374+R374)</f>
        <v>149</v>
      </c>
      <c r="W374" s="404">
        <f t="shared" si="217"/>
        <v>9.2950717404865879E-2</v>
      </c>
      <c r="X374" s="403">
        <f t="shared" ref="X374:X391" si="232">IF(I374=0,"",IF(H374=0,"",I374-H374))</f>
        <v>53</v>
      </c>
      <c r="Y374" s="407">
        <f t="shared" si="218"/>
        <v>3.0251141552511414E-2</v>
      </c>
      <c r="Z374" s="408">
        <f t="shared" ref="Z374:Z391" si="233">IF(X374="","",X374+V374)</f>
        <v>202</v>
      </c>
      <c r="AA374" s="405">
        <f t="shared" si="219"/>
        <v>0.12601372426699939</v>
      </c>
      <c r="AB374" s="403">
        <f t="shared" ref="AB374:AB391" si="234">IF(J374=0,"",IF(I374=0,"",J374-I374))</f>
        <v>54</v>
      </c>
      <c r="AC374" s="405">
        <f t="shared" si="220"/>
        <v>2.9916897506925208E-2</v>
      </c>
      <c r="AD374" s="406">
        <f t="shared" si="221"/>
        <v>256</v>
      </c>
      <c r="AE374" s="404">
        <f t="shared" si="222"/>
        <v>0.15970056144728634</v>
      </c>
      <c r="AF374" s="403">
        <f t="shared" ref="AF374:AF391" si="235">IF(K374=0,"",IF(J374=0,"",K374-J374))</f>
        <v>56</v>
      </c>
      <c r="AG374" s="407">
        <f t="shared" si="223"/>
        <v>3.0123722431414739E-2</v>
      </c>
      <c r="AH374" s="408">
        <f t="shared" ref="AH374:AH391" si="236">IF(AF374="","",AF374+AD374)</f>
        <v>312</v>
      </c>
      <c r="AI374" s="404">
        <f t="shared" si="224"/>
        <v>0.19463505926388022</v>
      </c>
      <c r="AJ374" s="403">
        <f t="shared" ref="AJ374:AJ391" si="237">IF(L374=0,"",IF(K374=0,"",L374-K374))</f>
        <v>57</v>
      </c>
      <c r="AK374" s="405">
        <f t="shared" si="225"/>
        <v>2.9765013054830286E-2</v>
      </c>
      <c r="AL374" s="406">
        <f t="shared" ref="AL374:AL391" si="238">IF(AJ374="","",AJ374+AH374)</f>
        <v>369</v>
      </c>
      <c r="AM374" s="404">
        <f t="shared" si="226"/>
        <v>0.23019338739862757</v>
      </c>
      <c r="AN374" s="38"/>
    </row>
    <row r="375" spans="1:40" ht="12.75" x14ac:dyDescent="0.2">
      <c r="A375" s="26"/>
      <c r="B375" s="38"/>
      <c r="C375" s="799" t="s">
        <v>972</v>
      </c>
      <c r="D375" s="800"/>
      <c r="E375" s="415">
        <v>2126</v>
      </c>
      <c r="F375" s="415">
        <v>2190</v>
      </c>
      <c r="G375" s="415">
        <v>2256</v>
      </c>
      <c r="H375" s="415">
        <f t="shared" si="227"/>
        <v>2324</v>
      </c>
      <c r="I375" s="415">
        <f t="shared" si="227"/>
        <v>2394</v>
      </c>
      <c r="J375" s="415">
        <f t="shared" si="227"/>
        <v>2466</v>
      </c>
      <c r="K375" s="415">
        <f t="shared" si="227"/>
        <v>2540</v>
      </c>
      <c r="L375" s="415">
        <f t="shared" si="227"/>
        <v>2616</v>
      </c>
      <c r="M375" s="45"/>
      <c r="N375" s="403">
        <f t="shared" si="212"/>
        <v>64</v>
      </c>
      <c r="O375" s="404">
        <f t="shared" si="213"/>
        <v>3.0103480714957668E-2</v>
      </c>
      <c r="P375" s="403">
        <f t="shared" si="228"/>
        <v>66</v>
      </c>
      <c r="Q375" s="405">
        <f t="shared" si="214"/>
        <v>3.0136986301369864E-2</v>
      </c>
      <c r="R375" s="406">
        <f t="shared" si="229"/>
        <v>130</v>
      </c>
      <c r="S375" s="404">
        <f t="shared" si="215"/>
        <v>6.1147695202257761E-2</v>
      </c>
      <c r="T375" s="403">
        <f t="shared" si="230"/>
        <v>68</v>
      </c>
      <c r="U375" s="407">
        <f t="shared" si="216"/>
        <v>3.0141843971631204E-2</v>
      </c>
      <c r="V375" s="408">
        <f t="shared" si="231"/>
        <v>198</v>
      </c>
      <c r="W375" s="404">
        <f t="shared" si="217"/>
        <v>9.3132643461900283E-2</v>
      </c>
      <c r="X375" s="403">
        <f t="shared" si="232"/>
        <v>70</v>
      </c>
      <c r="Y375" s="407">
        <f t="shared" si="218"/>
        <v>3.0120481927710843E-2</v>
      </c>
      <c r="Z375" s="408">
        <f t="shared" si="233"/>
        <v>268</v>
      </c>
      <c r="AA375" s="405">
        <f t="shared" si="219"/>
        <v>0.12605832549388524</v>
      </c>
      <c r="AB375" s="403">
        <f t="shared" si="234"/>
        <v>72</v>
      </c>
      <c r="AC375" s="405">
        <f t="shared" si="220"/>
        <v>3.007518796992481E-2</v>
      </c>
      <c r="AD375" s="406">
        <f t="shared" si="221"/>
        <v>340</v>
      </c>
      <c r="AE375" s="404">
        <f t="shared" si="222"/>
        <v>0.1599247412982126</v>
      </c>
      <c r="AF375" s="403">
        <f t="shared" si="235"/>
        <v>74</v>
      </c>
      <c r="AG375" s="407">
        <f t="shared" si="223"/>
        <v>3.0008110300081103E-2</v>
      </c>
      <c r="AH375" s="408">
        <f t="shared" si="236"/>
        <v>414</v>
      </c>
      <c r="AI375" s="404">
        <f t="shared" si="224"/>
        <v>0.19473189087488241</v>
      </c>
      <c r="AJ375" s="403">
        <f t="shared" si="237"/>
        <v>76</v>
      </c>
      <c r="AK375" s="405">
        <f t="shared" si="225"/>
        <v>2.9921259842519685E-2</v>
      </c>
      <c r="AL375" s="406">
        <f t="shared" si="238"/>
        <v>490</v>
      </c>
      <c r="AM375" s="404">
        <f t="shared" si="226"/>
        <v>0.23047977422389465</v>
      </c>
      <c r="AN375" s="38"/>
    </row>
    <row r="376" spans="1:40" ht="12.75" x14ac:dyDescent="0.2">
      <c r="A376" s="26"/>
      <c r="B376" s="38"/>
      <c r="C376" s="799" t="s">
        <v>973</v>
      </c>
      <c r="D376" s="800"/>
      <c r="E376" s="415">
        <v>2998</v>
      </c>
      <c r="F376" s="415">
        <v>3088</v>
      </c>
      <c r="G376" s="415">
        <v>3181</v>
      </c>
      <c r="H376" s="415">
        <f t="shared" si="227"/>
        <v>3276</v>
      </c>
      <c r="I376" s="415">
        <f t="shared" si="227"/>
        <v>3374</v>
      </c>
      <c r="J376" s="415">
        <f t="shared" si="227"/>
        <v>3475</v>
      </c>
      <c r="K376" s="415">
        <f t="shared" si="227"/>
        <v>3579</v>
      </c>
      <c r="L376" s="415">
        <f t="shared" si="227"/>
        <v>3686</v>
      </c>
      <c r="M376" s="45"/>
      <c r="N376" s="403">
        <f t="shared" si="212"/>
        <v>90</v>
      </c>
      <c r="O376" s="404">
        <f t="shared" si="213"/>
        <v>3.0020013342228154E-2</v>
      </c>
      <c r="P376" s="403">
        <f t="shared" si="228"/>
        <v>93</v>
      </c>
      <c r="Q376" s="405">
        <f t="shared" si="214"/>
        <v>3.0116580310880828E-2</v>
      </c>
      <c r="R376" s="406">
        <f t="shared" si="229"/>
        <v>183</v>
      </c>
      <c r="S376" s="404">
        <f t="shared" si="215"/>
        <v>6.104069379586391E-2</v>
      </c>
      <c r="T376" s="403">
        <f t="shared" si="230"/>
        <v>95</v>
      </c>
      <c r="U376" s="407">
        <f t="shared" si="216"/>
        <v>2.9864822382898459E-2</v>
      </c>
      <c r="V376" s="408">
        <f t="shared" si="231"/>
        <v>278</v>
      </c>
      <c r="W376" s="404">
        <f t="shared" si="217"/>
        <v>9.2728485657104731E-2</v>
      </c>
      <c r="X376" s="403">
        <f t="shared" si="232"/>
        <v>98</v>
      </c>
      <c r="Y376" s="407">
        <f t="shared" si="218"/>
        <v>2.9914529914529916E-2</v>
      </c>
      <c r="Z376" s="408">
        <f t="shared" si="233"/>
        <v>376</v>
      </c>
      <c r="AA376" s="405">
        <f t="shared" si="219"/>
        <v>0.12541694462975317</v>
      </c>
      <c r="AB376" s="403">
        <f t="shared" si="234"/>
        <v>101</v>
      </c>
      <c r="AC376" s="405">
        <f t="shared" si="220"/>
        <v>2.9934795494961471E-2</v>
      </c>
      <c r="AD376" s="406">
        <f t="shared" si="221"/>
        <v>477</v>
      </c>
      <c r="AE376" s="404">
        <f t="shared" si="222"/>
        <v>0.15910607071380919</v>
      </c>
      <c r="AF376" s="403">
        <f t="shared" si="235"/>
        <v>104</v>
      </c>
      <c r="AG376" s="407">
        <f t="shared" si="223"/>
        <v>2.9928057553956836E-2</v>
      </c>
      <c r="AH376" s="408">
        <f t="shared" si="236"/>
        <v>581</v>
      </c>
      <c r="AI376" s="404">
        <f t="shared" si="224"/>
        <v>0.19379586390927284</v>
      </c>
      <c r="AJ376" s="403">
        <f t="shared" si="237"/>
        <v>107</v>
      </c>
      <c r="AK376" s="405">
        <f t="shared" si="225"/>
        <v>2.9896619167365187E-2</v>
      </c>
      <c r="AL376" s="406">
        <f t="shared" si="238"/>
        <v>688</v>
      </c>
      <c r="AM376" s="404">
        <f t="shared" si="226"/>
        <v>0.22948632421614409</v>
      </c>
      <c r="AN376" s="38"/>
    </row>
    <row r="377" spans="1:40" ht="12.75" x14ac:dyDescent="0.2">
      <c r="A377" s="26"/>
      <c r="B377" s="38"/>
      <c r="C377" s="799" t="s">
        <v>974</v>
      </c>
      <c r="D377" s="800"/>
      <c r="E377" s="415">
        <v>6190</v>
      </c>
      <c r="F377" s="415">
        <v>6376</v>
      </c>
      <c r="G377" s="415">
        <v>6567</v>
      </c>
      <c r="H377" s="415">
        <f t="shared" si="227"/>
        <v>6764</v>
      </c>
      <c r="I377" s="415">
        <f t="shared" si="227"/>
        <v>6967</v>
      </c>
      <c r="J377" s="415">
        <f t="shared" si="227"/>
        <v>7176</v>
      </c>
      <c r="K377" s="415">
        <f t="shared" si="227"/>
        <v>7391</v>
      </c>
      <c r="L377" s="415">
        <f t="shared" si="227"/>
        <v>7613</v>
      </c>
      <c r="M377" s="45"/>
      <c r="N377" s="403">
        <f t="shared" si="212"/>
        <v>186</v>
      </c>
      <c r="O377" s="404">
        <f t="shared" si="213"/>
        <v>3.0048465266558966E-2</v>
      </c>
      <c r="P377" s="403">
        <f t="shared" si="228"/>
        <v>191</v>
      </c>
      <c r="Q377" s="405">
        <f t="shared" si="214"/>
        <v>2.9956085319949814E-2</v>
      </c>
      <c r="R377" s="406">
        <f t="shared" si="229"/>
        <v>377</v>
      </c>
      <c r="S377" s="404">
        <f t="shared" si="215"/>
        <v>6.0904684975767363E-2</v>
      </c>
      <c r="T377" s="403">
        <f t="shared" si="230"/>
        <v>197</v>
      </c>
      <c r="U377" s="407">
        <f t="shared" si="216"/>
        <v>2.9998477234658139E-2</v>
      </c>
      <c r="V377" s="408">
        <f t="shared" si="231"/>
        <v>574</v>
      </c>
      <c r="W377" s="404">
        <f t="shared" si="217"/>
        <v>9.2730210016155085E-2</v>
      </c>
      <c r="X377" s="403">
        <f t="shared" si="232"/>
        <v>203</v>
      </c>
      <c r="Y377" s="407">
        <f t="shared" si="218"/>
        <v>3.0011827321111767E-2</v>
      </c>
      <c r="Z377" s="408">
        <f t="shared" si="233"/>
        <v>777</v>
      </c>
      <c r="AA377" s="405">
        <f t="shared" si="219"/>
        <v>0.12552504038772214</v>
      </c>
      <c r="AB377" s="403">
        <f t="shared" si="234"/>
        <v>209</v>
      </c>
      <c r="AC377" s="405">
        <f t="shared" si="220"/>
        <v>2.9998564661977895E-2</v>
      </c>
      <c r="AD377" s="406">
        <f t="shared" si="221"/>
        <v>986</v>
      </c>
      <c r="AE377" s="404">
        <f t="shared" si="222"/>
        <v>0.1592891760904685</v>
      </c>
      <c r="AF377" s="403">
        <f t="shared" si="235"/>
        <v>215</v>
      </c>
      <c r="AG377" s="407">
        <f t="shared" si="223"/>
        <v>2.9960981047937568E-2</v>
      </c>
      <c r="AH377" s="408">
        <f t="shared" si="236"/>
        <v>1201</v>
      </c>
      <c r="AI377" s="404">
        <f t="shared" si="224"/>
        <v>0.1940226171243942</v>
      </c>
      <c r="AJ377" s="403">
        <f t="shared" si="237"/>
        <v>222</v>
      </c>
      <c r="AK377" s="405">
        <f t="shared" si="225"/>
        <v>3.0036530915978892E-2</v>
      </c>
      <c r="AL377" s="406">
        <f t="shared" si="238"/>
        <v>1423</v>
      </c>
      <c r="AM377" s="404">
        <f t="shared" si="226"/>
        <v>0.22988691437802908</v>
      </c>
      <c r="AN377" s="38"/>
    </row>
    <row r="378" spans="1:40" ht="12.75" x14ac:dyDescent="0.2">
      <c r="A378" s="26"/>
      <c r="B378" s="38"/>
      <c r="C378" s="799" t="s">
        <v>975</v>
      </c>
      <c r="D378" s="800"/>
      <c r="E378" s="415">
        <v>8870</v>
      </c>
      <c r="F378" s="415">
        <v>9136</v>
      </c>
      <c r="G378" s="415">
        <v>9410</v>
      </c>
      <c r="H378" s="415">
        <f t="shared" si="227"/>
        <v>9692</v>
      </c>
      <c r="I378" s="415">
        <f t="shared" si="227"/>
        <v>9983</v>
      </c>
      <c r="J378" s="415">
        <f t="shared" si="227"/>
        <v>10282</v>
      </c>
      <c r="K378" s="415">
        <f t="shared" si="227"/>
        <v>10590</v>
      </c>
      <c r="L378" s="415">
        <f t="shared" si="227"/>
        <v>10908</v>
      </c>
      <c r="M378" s="45"/>
      <c r="N378" s="403">
        <f t="shared" si="212"/>
        <v>266</v>
      </c>
      <c r="O378" s="404">
        <f t="shared" si="213"/>
        <v>2.9988726042841037E-2</v>
      </c>
      <c r="P378" s="403">
        <f t="shared" si="228"/>
        <v>274</v>
      </c>
      <c r="Q378" s="405">
        <f t="shared" si="214"/>
        <v>2.9991243432574432E-2</v>
      </c>
      <c r="R378" s="406">
        <f t="shared" si="229"/>
        <v>540</v>
      </c>
      <c r="S378" s="404">
        <f t="shared" si="215"/>
        <v>6.0879368658399095E-2</v>
      </c>
      <c r="T378" s="403">
        <f t="shared" si="230"/>
        <v>282</v>
      </c>
      <c r="U378" s="407">
        <f t="shared" si="216"/>
        <v>2.9968119022316685E-2</v>
      </c>
      <c r="V378" s="408">
        <f t="shared" si="231"/>
        <v>822</v>
      </c>
      <c r="W378" s="404">
        <f t="shared" si="217"/>
        <v>9.2671927846674176E-2</v>
      </c>
      <c r="X378" s="403">
        <f t="shared" si="232"/>
        <v>291</v>
      </c>
      <c r="Y378" s="407">
        <f t="shared" si="218"/>
        <v>3.0024762690879076E-2</v>
      </c>
      <c r="Z378" s="408">
        <f t="shared" si="233"/>
        <v>1113</v>
      </c>
      <c r="AA378" s="405">
        <f t="shared" si="219"/>
        <v>0.12547914317925593</v>
      </c>
      <c r="AB378" s="403">
        <f t="shared" si="234"/>
        <v>299</v>
      </c>
      <c r="AC378" s="405">
        <f t="shared" si="220"/>
        <v>2.9950916558148855E-2</v>
      </c>
      <c r="AD378" s="406">
        <f t="shared" si="221"/>
        <v>1412</v>
      </c>
      <c r="AE378" s="404">
        <f t="shared" si="222"/>
        <v>0.15918827508455469</v>
      </c>
      <c r="AF378" s="403">
        <f t="shared" si="235"/>
        <v>308</v>
      </c>
      <c r="AG378" s="407">
        <f t="shared" si="223"/>
        <v>2.9955261622252479E-2</v>
      </c>
      <c r="AH378" s="408">
        <f t="shared" si="236"/>
        <v>1720</v>
      </c>
      <c r="AI378" s="404">
        <f t="shared" si="224"/>
        <v>0.1939120631341601</v>
      </c>
      <c r="AJ378" s="403">
        <f t="shared" si="237"/>
        <v>318</v>
      </c>
      <c r="AK378" s="405">
        <f t="shared" si="225"/>
        <v>3.0028328611898018E-2</v>
      </c>
      <c r="AL378" s="406">
        <f t="shared" si="238"/>
        <v>2038</v>
      </c>
      <c r="AM378" s="404">
        <f t="shared" si="226"/>
        <v>0.22976324689966179</v>
      </c>
      <c r="AN378" s="38"/>
    </row>
    <row r="379" spans="1:40" ht="12.75" x14ac:dyDescent="0.2">
      <c r="A379" s="26"/>
      <c r="B379" s="38"/>
      <c r="C379" s="799" t="s">
        <v>976</v>
      </c>
      <c r="D379" s="800"/>
      <c r="E379" s="415">
        <v>15282</v>
      </c>
      <c r="F379" s="415">
        <v>15740</v>
      </c>
      <c r="G379" s="415">
        <v>16212</v>
      </c>
      <c r="H379" s="415">
        <f t="shared" si="227"/>
        <v>16698</v>
      </c>
      <c r="I379" s="415">
        <f t="shared" si="227"/>
        <v>17199</v>
      </c>
      <c r="J379" s="415">
        <f t="shared" si="227"/>
        <v>17715</v>
      </c>
      <c r="K379" s="415">
        <f t="shared" si="227"/>
        <v>18246</v>
      </c>
      <c r="L379" s="415">
        <f t="shared" si="227"/>
        <v>18793</v>
      </c>
      <c r="M379" s="45"/>
      <c r="N379" s="403">
        <f t="shared" si="212"/>
        <v>458</v>
      </c>
      <c r="O379" s="404">
        <f t="shared" si="213"/>
        <v>2.9969899227849758E-2</v>
      </c>
      <c r="P379" s="403">
        <f t="shared" si="228"/>
        <v>472</v>
      </c>
      <c r="Q379" s="405">
        <f t="shared" si="214"/>
        <v>2.9987293519695046E-2</v>
      </c>
      <c r="R379" s="406">
        <f t="shared" si="229"/>
        <v>930</v>
      </c>
      <c r="S379" s="404">
        <f t="shared" si="215"/>
        <v>6.0855908912446015E-2</v>
      </c>
      <c r="T379" s="403">
        <f t="shared" si="230"/>
        <v>486</v>
      </c>
      <c r="U379" s="407">
        <f t="shared" si="216"/>
        <v>2.9977794226498891E-2</v>
      </c>
      <c r="V379" s="408">
        <f t="shared" si="231"/>
        <v>1416</v>
      </c>
      <c r="W379" s="404">
        <f t="shared" si="217"/>
        <v>9.2658029053788768E-2</v>
      </c>
      <c r="X379" s="403">
        <f t="shared" si="232"/>
        <v>501</v>
      </c>
      <c r="Y379" s="407">
        <f t="shared" si="218"/>
        <v>3.0003593244699964E-2</v>
      </c>
      <c r="Z379" s="408">
        <f t="shared" si="233"/>
        <v>1917</v>
      </c>
      <c r="AA379" s="405">
        <f t="shared" si="219"/>
        <v>0.12544169611307421</v>
      </c>
      <c r="AB379" s="403">
        <f t="shared" si="234"/>
        <v>516</v>
      </c>
      <c r="AC379" s="405">
        <f t="shared" si="220"/>
        <v>3.0001744287458575E-2</v>
      </c>
      <c r="AD379" s="406">
        <f t="shared" si="221"/>
        <v>2433</v>
      </c>
      <c r="AE379" s="404">
        <f t="shared" si="222"/>
        <v>0.15920691009030233</v>
      </c>
      <c r="AF379" s="403">
        <f t="shared" si="235"/>
        <v>531</v>
      </c>
      <c r="AG379" s="407">
        <f t="shared" si="223"/>
        <v>2.9974597798475867E-2</v>
      </c>
      <c r="AH379" s="408">
        <f t="shared" si="236"/>
        <v>2964</v>
      </c>
      <c r="AI379" s="404">
        <f t="shared" si="224"/>
        <v>0.19395367098547311</v>
      </c>
      <c r="AJ379" s="403">
        <f t="shared" si="237"/>
        <v>547</v>
      </c>
      <c r="AK379" s="405">
        <f t="shared" si="225"/>
        <v>2.9979173517483283E-2</v>
      </c>
      <c r="AL379" s="406">
        <f t="shared" si="238"/>
        <v>3511</v>
      </c>
      <c r="AM379" s="404">
        <f t="shared" si="226"/>
        <v>0.22974741525978276</v>
      </c>
      <c r="AN379" s="38"/>
    </row>
    <row r="380" spans="1:40" ht="12.75" x14ac:dyDescent="0.2">
      <c r="A380" s="26"/>
      <c r="B380" s="38"/>
      <c r="C380" s="799" t="s">
        <v>977</v>
      </c>
      <c r="D380" s="800"/>
      <c r="E380" s="415">
        <v>23707</v>
      </c>
      <c r="F380" s="415">
        <v>24418</v>
      </c>
      <c r="G380" s="415">
        <v>25151</v>
      </c>
      <c r="H380" s="415">
        <f t="shared" si="227"/>
        <v>25906</v>
      </c>
      <c r="I380" s="415">
        <f t="shared" si="227"/>
        <v>26683</v>
      </c>
      <c r="J380" s="415">
        <f t="shared" si="227"/>
        <v>27483</v>
      </c>
      <c r="K380" s="415">
        <f t="shared" si="227"/>
        <v>28307</v>
      </c>
      <c r="L380" s="415">
        <f t="shared" si="227"/>
        <v>29156</v>
      </c>
      <c r="M380" s="45"/>
      <c r="N380" s="403">
        <f t="shared" si="212"/>
        <v>711</v>
      </c>
      <c r="O380" s="404">
        <f t="shared" si="213"/>
        <v>2.9991141856835535E-2</v>
      </c>
      <c r="P380" s="403">
        <f t="shared" si="228"/>
        <v>733</v>
      </c>
      <c r="Q380" s="405">
        <f t="shared" si="214"/>
        <v>3.0018838561716766E-2</v>
      </c>
      <c r="R380" s="406">
        <f t="shared" si="229"/>
        <v>1444</v>
      </c>
      <c r="S380" s="404">
        <f t="shared" si="215"/>
        <v>6.0910279664234193E-2</v>
      </c>
      <c r="T380" s="403">
        <f t="shared" si="230"/>
        <v>755</v>
      </c>
      <c r="U380" s="407">
        <f t="shared" si="216"/>
        <v>3.0018687129736391E-2</v>
      </c>
      <c r="V380" s="408">
        <f t="shared" si="231"/>
        <v>2199</v>
      </c>
      <c r="W380" s="404">
        <f t="shared" si="217"/>
        <v>9.275741342219597E-2</v>
      </c>
      <c r="X380" s="403">
        <f t="shared" si="232"/>
        <v>777</v>
      </c>
      <c r="Y380" s="407">
        <f t="shared" si="218"/>
        <v>2.9993051802671197E-2</v>
      </c>
      <c r="Z380" s="408">
        <f t="shared" si="233"/>
        <v>2976</v>
      </c>
      <c r="AA380" s="405">
        <f t="shared" si="219"/>
        <v>0.12553254313072088</v>
      </c>
      <c r="AB380" s="403">
        <f t="shared" si="234"/>
        <v>800</v>
      </c>
      <c r="AC380" s="405">
        <f t="shared" si="220"/>
        <v>2.9981636247798222E-2</v>
      </c>
      <c r="AD380" s="406">
        <f t="shared" si="221"/>
        <v>3776</v>
      </c>
      <c r="AE380" s="404">
        <f t="shared" si="222"/>
        <v>0.15927785042392542</v>
      </c>
      <c r="AF380" s="403">
        <f t="shared" si="235"/>
        <v>824</v>
      </c>
      <c r="AG380" s="407">
        <f t="shared" si="223"/>
        <v>2.9982170796492378E-2</v>
      </c>
      <c r="AH380" s="408">
        <f t="shared" si="236"/>
        <v>4600</v>
      </c>
      <c r="AI380" s="404">
        <f t="shared" si="224"/>
        <v>0.19403551693592611</v>
      </c>
      <c r="AJ380" s="403">
        <f t="shared" si="237"/>
        <v>849</v>
      </c>
      <c r="AK380" s="405">
        <f t="shared" si="225"/>
        <v>2.9992581340304518E-2</v>
      </c>
      <c r="AL380" s="406">
        <f t="shared" si="238"/>
        <v>5449</v>
      </c>
      <c r="AM380" s="404">
        <f t="shared" si="226"/>
        <v>0.22984772430083941</v>
      </c>
      <c r="AN380" s="38"/>
    </row>
    <row r="381" spans="1:40" ht="12.75" x14ac:dyDescent="0.2">
      <c r="A381" s="26"/>
      <c r="B381" s="38"/>
      <c r="C381" s="799"/>
      <c r="D381" s="800"/>
      <c r="E381" s="415"/>
      <c r="F381" s="415"/>
      <c r="G381" s="415"/>
      <c r="H381" s="415"/>
      <c r="I381" s="415"/>
      <c r="J381" s="415"/>
      <c r="K381" s="415"/>
      <c r="L381" s="416"/>
      <c r="M381" s="45"/>
      <c r="N381" s="403" t="str">
        <f t="shared" si="212"/>
        <v/>
      </c>
      <c r="O381" s="404" t="str">
        <f t="shared" si="213"/>
        <v/>
      </c>
      <c r="P381" s="403" t="str">
        <f t="shared" si="228"/>
        <v/>
      </c>
      <c r="Q381" s="405" t="str">
        <f t="shared" si="214"/>
        <v/>
      </c>
      <c r="R381" s="406" t="str">
        <f t="shared" si="229"/>
        <v/>
      </c>
      <c r="S381" s="404" t="str">
        <f t="shared" si="215"/>
        <v/>
      </c>
      <c r="T381" s="403" t="str">
        <f t="shared" si="230"/>
        <v/>
      </c>
      <c r="U381" s="407" t="str">
        <f t="shared" si="216"/>
        <v/>
      </c>
      <c r="V381" s="408" t="str">
        <f t="shared" si="231"/>
        <v/>
      </c>
      <c r="W381" s="404" t="str">
        <f t="shared" si="217"/>
        <v/>
      </c>
      <c r="X381" s="403" t="str">
        <f t="shared" si="232"/>
        <v/>
      </c>
      <c r="Y381" s="407" t="str">
        <f t="shared" si="218"/>
        <v/>
      </c>
      <c r="Z381" s="408" t="str">
        <f t="shared" si="233"/>
        <v/>
      </c>
      <c r="AA381" s="405" t="str">
        <f t="shared" si="219"/>
        <v/>
      </c>
      <c r="AB381" s="403" t="str">
        <f t="shared" si="234"/>
        <v/>
      </c>
      <c r="AC381" s="405" t="str">
        <f t="shared" si="220"/>
        <v/>
      </c>
      <c r="AD381" s="406" t="str">
        <f t="shared" si="221"/>
        <v/>
      </c>
      <c r="AE381" s="404" t="str">
        <f t="shared" si="222"/>
        <v/>
      </c>
      <c r="AF381" s="403" t="str">
        <f t="shared" si="235"/>
        <v/>
      </c>
      <c r="AG381" s="407" t="str">
        <f t="shared" si="223"/>
        <v/>
      </c>
      <c r="AH381" s="408" t="str">
        <f t="shared" si="236"/>
        <v/>
      </c>
      <c r="AI381" s="404" t="str">
        <f t="shared" si="224"/>
        <v/>
      </c>
      <c r="AJ381" s="403" t="str">
        <f t="shared" si="237"/>
        <v/>
      </c>
      <c r="AK381" s="405" t="str">
        <f t="shared" si="225"/>
        <v/>
      </c>
      <c r="AL381" s="406" t="str">
        <f t="shared" si="238"/>
        <v/>
      </c>
      <c r="AM381" s="404" t="str">
        <f t="shared" si="226"/>
        <v/>
      </c>
      <c r="AN381" s="38"/>
    </row>
    <row r="382" spans="1:40" ht="12.75" x14ac:dyDescent="0.2">
      <c r="A382" s="26"/>
      <c r="B382" s="38"/>
      <c r="C382" s="799"/>
      <c r="D382" s="800"/>
      <c r="E382" s="415"/>
      <c r="F382" s="415"/>
      <c r="G382" s="415"/>
      <c r="H382" s="415"/>
      <c r="I382" s="415"/>
      <c r="J382" s="415"/>
      <c r="K382" s="415"/>
      <c r="L382" s="416"/>
      <c r="M382" s="45"/>
      <c r="N382" s="403" t="str">
        <f t="shared" si="212"/>
        <v/>
      </c>
      <c r="O382" s="404" t="str">
        <f t="shared" si="213"/>
        <v/>
      </c>
      <c r="P382" s="403" t="str">
        <f t="shared" si="228"/>
        <v/>
      </c>
      <c r="Q382" s="405" t="str">
        <f t="shared" si="214"/>
        <v/>
      </c>
      <c r="R382" s="406" t="str">
        <f t="shared" si="229"/>
        <v/>
      </c>
      <c r="S382" s="404" t="str">
        <f t="shared" si="215"/>
        <v/>
      </c>
      <c r="T382" s="403" t="str">
        <f t="shared" si="230"/>
        <v/>
      </c>
      <c r="U382" s="407" t="str">
        <f t="shared" si="216"/>
        <v/>
      </c>
      <c r="V382" s="408" t="str">
        <f t="shared" si="231"/>
        <v/>
      </c>
      <c r="W382" s="404" t="str">
        <f t="shared" si="217"/>
        <v/>
      </c>
      <c r="X382" s="403" t="str">
        <f t="shared" si="232"/>
        <v/>
      </c>
      <c r="Y382" s="407" t="str">
        <f t="shared" si="218"/>
        <v/>
      </c>
      <c r="Z382" s="408" t="str">
        <f t="shared" si="233"/>
        <v/>
      </c>
      <c r="AA382" s="405" t="str">
        <f t="shared" si="219"/>
        <v/>
      </c>
      <c r="AB382" s="403" t="str">
        <f t="shared" si="234"/>
        <v/>
      </c>
      <c r="AC382" s="405" t="str">
        <f t="shared" si="220"/>
        <v/>
      </c>
      <c r="AD382" s="406" t="str">
        <f t="shared" si="221"/>
        <v/>
      </c>
      <c r="AE382" s="404" t="str">
        <f t="shared" si="222"/>
        <v/>
      </c>
      <c r="AF382" s="403" t="str">
        <f t="shared" si="235"/>
        <v/>
      </c>
      <c r="AG382" s="407" t="str">
        <f t="shared" si="223"/>
        <v/>
      </c>
      <c r="AH382" s="408" t="str">
        <f t="shared" si="236"/>
        <v/>
      </c>
      <c r="AI382" s="404" t="str">
        <f t="shared" si="224"/>
        <v/>
      </c>
      <c r="AJ382" s="403" t="str">
        <f t="shared" si="237"/>
        <v/>
      </c>
      <c r="AK382" s="405" t="str">
        <f t="shared" si="225"/>
        <v/>
      </c>
      <c r="AL382" s="406" t="str">
        <f t="shared" si="238"/>
        <v/>
      </c>
      <c r="AM382" s="404" t="str">
        <f t="shared" si="226"/>
        <v/>
      </c>
      <c r="AN382" s="38"/>
    </row>
    <row r="383" spans="1:40" ht="12.75" x14ac:dyDescent="0.2">
      <c r="A383" s="26"/>
      <c r="B383" s="38"/>
      <c r="C383" s="799"/>
      <c r="D383" s="800"/>
      <c r="E383" s="415"/>
      <c r="F383" s="415"/>
      <c r="G383" s="415"/>
      <c r="H383" s="415"/>
      <c r="I383" s="415"/>
      <c r="J383" s="415"/>
      <c r="K383" s="415"/>
      <c r="L383" s="416"/>
      <c r="M383" s="45"/>
      <c r="N383" s="403" t="str">
        <f t="shared" si="212"/>
        <v/>
      </c>
      <c r="O383" s="404" t="str">
        <f t="shared" si="213"/>
        <v/>
      </c>
      <c r="P383" s="403" t="str">
        <f t="shared" si="228"/>
        <v/>
      </c>
      <c r="Q383" s="405" t="str">
        <f t="shared" si="214"/>
        <v/>
      </c>
      <c r="R383" s="406" t="str">
        <f t="shared" si="229"/>
        <v/>
      </c>
      <c r="S383" s="404" t="str">
        <f t="shared" si="215"/>
        <v/>
      </c>
      <c r="T383" s="403" t="str">
        <f t="shared" si="230"/>
        <v/>
      </c>
      <c r="U383" s="407" t="str">
        <f t="shared" si="216"/>
        <v/>
      </c>
      <c r="V383" s="408" t="str">
        <f t="shared" si="231"/>
        <v/>
      </c>
      <c r="W383" s="404" t="str">
        <f t="shared" si="217"/>
        <v/>
      </c>
      <c r="X383" s="403" t="str">
        <f t="shared" si="232"/>
        <v/>
      </c>
      <c r="Y383" s="407" t="str">
        <f t="shared" si="218"/>
        <v/>
      </c>
      <c r="Z383" s="408" t="str">
        <f t="shared" si="233"/>
        <v/>
      </c>
      <c r="AA383" s="405" t="str">
        <f t="shared" si="219"/>
        <v/>
      </c>
      <c r="AB383" s="403" t="str">
        <f t="shared" si="234"/>
        <v/>
      </c>
      <c r="AC383" s="405" t="str">
        <f t="shared" si="220"/>
        <v/>
      </c>
      <c r="AD383" s="406" t="str">
        <f t="shared" si="221"/>
        <v/>
      </c>
      <c r="AE383" s="404" t="str">
        <f t="shared" si="222"/>
        <v/>
      </c>
      <c r="AF383" s="403" t="str">
        <f t="shared" si="235"/>
        <v/>
      </c>
      <c r="AG383" s="407" t="str">
        <f t="shared" si="223"/>
        <v/>
      </c>
      <c r="AH383" s="408" t="str">
        <f t="shared" si="236"/>
        <v/>
      </c>
      <c r="AI383" s="404" t="str">
        <f t="shared" si="224"/>
        <v/>
      </c>
      <c r="AJ383" s="403" t="str">
        <f t="shared" si="237"/>
        <v/>
      </c>
      <c r="AK383" s="405" t="str">
        <f t="shared" si="225"/>
        <v/>
      </c>
      <c r="AL383" s="406" t="str">
        <f t="shared" si="238"/>
        <v/>
      </c>
      <c r="AM383" s="404" t="str">
        <f t="shared" si="226"/>
        <v/>
      </c>
      <c r="AN383" s="38"/>
    </row>
    <row r="384" spans="1:40" ht="12.75" x14ac:dyDescent="0.2">
      <c r="A384" s="26"/>
      <c r="B384" s="38"/>
      <c r="C384" s="799"/>
      <c r="D384" s="800"/>
      <c r="E384" s="415"/>
      <c r="F384" s="415"/>
      <c r="G384" s="415"/>
      <c r="H384" s="415"/>
      <c r="I384" s="415"/>
      <c r="J384" s="415"/>
      <c r="K384" s="415"/>
      <c r="L384" s="416"/>
      <c r="M384" s="45"/>
      <c r="N384" s="403" t="str">
        <f t="shared" si="212"/>
        <v/>
      </c>
      <c r="O384" s="404" t="str">
        <f t="shared" si="213"/>
        <v/>
      </c>
      <c r="P384" s="403" t="str">
        <f t="shared" si="228"/>
        <v/>
      </c>
      <c r="Q384" s="405" t="str">
        <f t="shared" si="214"/>
        <v/>
      </c>
      <c r="R384" s="406" t="str">
        <f t="shared" si="229"/>
        <v/>
      </c>
      <c r="S384" s="404" t="str">
        <f t="shared" si="215"/>
        <v/>
      </c>
      <c r="T384" s="403" t="str">
        <f t="shared" si="230"/>
        <v/>
      </c>
      <c r="U384" s="407" t="str">
        <f t="shared" si="216"/>
        <v/>
      </c>
      <c r="V384" s="408" t="str">
        <f t="shared" si="231"/>
        <v/>
      </c>
      <c r="W384" s="404" t="str">
        <f t="shared" si="217"/>
        <v/>
      </c>
      <c r="X384" s="403" t="str">
        <f t="shared" si="232"/>
        <v/>
      </c>
      <c r="Y384" s="407" t="str">
        <f t="shared" si="218"/>
        <v/>
      </c>
      <c r="Z384" s="408" t="str">
        <f t="shared" si="233"/>
        <v/>
      </c>
      <c r="AA384" s="405" t="str">
        <f t="shared" si="219"/>
        <v/>
      </c>
      <c r="AB384" s="403" t="str">
        <f t="shared" si="234"/>
        <v/>
      </c>
      <c r="AC384" s="405" t="str">
        <f t="shared" si="220"/>
        <v/>
      </c>
      <c r="AD384" s="406" t="str">
        <f t="shared" si="221"/>
        <v/>
      </c>
      <c r="AE384" s="404" t="str">
        <f t="shared" si="222"/>
        <v/>
      </c>
      <c r="AF384" s="403" t="str">
        <f t="shared" si="235"/>
        <v/>
      </c>
      <c r="AG384" s="407" t="str">
        <f t="shared" si="223"/>
        <v/>
      </c>
      <c r="AH384" s="408" t="str">
        <f t="shared" si="236"/>
        <v/>
      </c>
      <c r="AI384" s="404" t="str">
        <f t="shared" si="224"/>
        <v/>
      </c>
      <c r="AJ384" s="403" t="str">
        <f t="shared" si="237"/>
        <v/>
      </c>
      <c r="AK384" s="405" t="str">
        <f t="shared" si="225"/>
        <v/>
      </c>
      <c r="AL384" s="406" t="str">
        <f t="shared" si="238"/>
        <v/>
      </c>
      <c r="AM384" s="404" t="str">
        <f t="shared" si="226"/>
        <v/>
      </c>
      <c r="AN384" s="38"/>
    </row>
    <row r="385" spans="1:40" ht="12.75" x14ac:dyDescent="0.2">
      <c r="A385" s="26"/>
      <c r="B385" s="38"/>
      <c r="C385" s="799"/>
      <c r="D385" s="800"/>
      <c r="E385" s="415"/>
      <c r="F385" s="415"/>
      <c r="G385" s="415"/>
      <c r="H385" s="415"/>
      <c r="I385" s="415"/>
      <c r="J385" s="415"/>
      <c r="K385" s="415"/>
      <c r="L385" s="416"/>
      <c r="M385" s="45"/>
      <c r="N385" s="403" t="str">
        <f t="shared" si="212"/>
        <v/>
      </c>
      <c r="O385" s="404" t="str">
        <f t="shared" si="213"/>
        <v/>
      </c>
      <c r="P385" s="403" t="str">
        <f t="shared" si="228"/>
        <v/>
      </c>
      <c r="Q385" s="405" t="str">
        <f t="shared" si="214"/>
        <v/>
      </c>
      <c r="R385" s="406" t="str">
        <f t="shared" si="229"/>
        <v/>
      </c>
      <c r="S385" s="404" t="str">
        <f t="shared" si="215"/>
        <v/>
      </c>
      <c r="T385" s="403" t="str">
        <f t="shared" si="230"/>
        <v/>
      </c>
      <c r="U385" s="407" t="str">
        <f t="shared" si="216"/>
        <v/>
      </c>
      <c r="V385" s="408" t="str">
        <f t="shared" si="231"/>
        <v/>
      </c>
      <c r="W385" s="404" t="str">
        <f t="shared" si="217"/>
        <v/>
      </c>
      <c r="X385" s="403" t="str">
        <f t="shared" si="232"/>
        <v/>
      </c>
      <c r="Y385" s="407" t="str">
        <f t="shared" si="218"/>
        <v/>
      </c>
      <c r="Z385" s="408" t="str">
        <f t="shared" si="233"/>
        <v/>
      </c>
      <c r="AA385" s="405" t="str">
        <f t="shared" si="219"/>
        <v/>
      </c>
      <c r="AB385" s="403" t="str">
        <f t="shared" si="234"/>
        <v/>
      </c>
      <c r="AC385" s="405" t="str">
        <f t="shared" si="220"/>
        <v/>
      </c>
      <c r="AD385" s="406" t="str">
        <f t="shared" si="221"/>
        <v/>
      </c>
      <c r="AE385" s="404" t="str">
        <f t="shared" si="222"/>
        <v/>
      </c>
      <c r="AF385" s="403" t="str">
        <f t="shared" si="235"/>
        <v/>
      </c>
      <c r="AG385" s="407" t="str">
        <f t="shared" si="223"/>
        <v/>
      </c>
      <c r="AH385" s="408" t="str">
        <f t="shared" si="236"/>
        <v/>
      </c>
      <c r="AI385" s="404" t="str">
        <f t="shared" si="224"/>
        <v/>
      </c>
      <c r="AJ385" s="403" t="str">
        <f t="shared" si="237"/>
        <v/>
      </c>
      <c r="AK385" s="405" t="str">
        <f t="shared" si="225"/>
        <v/>
      </c>
      <c r="AL385" s="406" t="str">
        <f t="shared" si="238"/>
        <v/>
      </c>
      <c r="AM385" s="404" t="str">
        <f t="shared" si="226"/>
        <v/>
      </c>
      <c r="AN385" s="38"/>
    </row>
    <row r="386" spans="1:40" ht="12.75" x14ac:dyDescent="0.2">
      <c r="A386" s="26"/>
      <c r="B386" s="38"/>
      <c r="C386" s="799"/>
      <c r="D386" s="800"/>
      <c r="E386" s="415"/>
      <c r="F386" s="415"/>
      <c r="G386" s="415"/>
      <c r="H386" s="415"/>
      <c r="I386" s="415"/>
      <c r="J386" s="415"/>
      <c r="K386" s="415"/>
      <c r="L386" s="416"/>
      <c r="M386" s="45"/>
      <c r="N386" s="403" t="str">
        <f t="shared" si="212"/>
        <v/>
      </c>
      <c r="O386" s="404" t="str">
        <f t="shared" si="213"/>
        <v/>
      </c>
      <c r="P386" s="403" t="str">
        <f t="shared" si="228"/>
        <v/>
      </c>
      <c r="Q386" s="405" t="str">
        <f t="shared" si="214"/>
        <v/>
      </c>
      <c r="R386" s="406" t="str">
        <f t="shared" si="229"/>
        <v/>
      </c>
      <c r="S386" s="404" t="str">
        <f t="shared" si="215"/>
        <v/>
      </c>
      <c r="T386" s="403" t="str">
        <f t="shared" si="230"/>
        <v/>
      </c>
      <c r="U386" s="407" t="str">
        <f t="shared" si="216"/>
        <v/>
      </c>
      <c r="V386" s="408" t="str">
        <f t="shared" si="231"/>
        <v/>
      </c>
      <c r="W386" s="404" t="str">
        <f t="shared" si="217"/>
        <v/>
      </c>
      <c r="X386" s="403" t="str">
        <f t="shared" si="232"/>
        <v/>
      </c>
      <c r="Y386" s="407" t="str">
        <f t="shared" si="218"/>
        <v/>
      </c>
      <c r="Z386" s="408" t="str">
        <f t="shared" si="233"/>
        <v/>
      </c>
      <c r="AA386" s="405" t="str">
        <f t="shared" si="219"/>
        <v/>
      </c>
      <c r="AB386" s="403" t="str">
        <f t="shared" si="234"/>
        <v/>
      </c>
      <c r="AC386" s="405" t="str">
        <f t="shared" si="220"/>
        <v/>
      </c>
      <c r="AD386" s="406" t="str">
        <f t="shared" si="221"/>
        <v/>
      </c>
      <c r="AE386" s="404" t="str">
        <f t="shared" si="222"/>
        <v/>
      </c>
      <c r="AF386" s="403" t="str">
        <f t="shared" si="235"/>
        <v/>
      </c>
      <c r="AG386" s="407" t="str">
        <f t="shared" si="223"/>
        <v/>
      </c>
      <c r="AH386" s="408" t="str">
        <f t="shared" si="236"/>
        <v/>
      </c>
      <c r="AI386" s="404" t="str">
        <f t="shared" si="224"/>
        <v/>
      </c>
      <c r="AJ386" s="403" t="str">
        <f t="shared" si="237"/>
        <v/>
      </c>
      <c r="AK386" s="405" t="str">
        <f t="shared" si="225"/>
        <v/>
      </c>
      <c r="AL386" s="406" t="str">
        <f t="shared" si="238"/>
        <v/>
      </c>
      <c r="AM386" s="404" t="str">
        <f t="shared" si="226"/>
        <v/>
      </c>
      <c r="AN386" s="38"/>
    </row>
    <row r="387" spans="1:40" ht="12.75" x14ac:dyDescent="0.2">
      <c r="A387" s="26"/>
      <c r="B387" s="38"/>
      <c r="C387" s="799"/>
      <c r="D387" s="800"/>
      <c r="E387" s="415"/>
      <c r="F387" s="415"/>
      <c r="G387" s="415"/>
      <c r="H387" s="415"/>
      <c r="I387" s="415"/>
      <c r="J387" s="415"/>
      <c r="K387" s="415"/>
      <c r="L387" s="416"/>
      <c r="M387" s="45"/>
      <c r="N387" s="403" t="str">
        <f t="shared" si="212"/>
        <v/>
      </c>
      <c r="O387" s="404" t="str">
        <f t="shared" si="213"/>
        <v/>
      </c>
      <c r="P387" s="403" t="str">
        <f>IF(G387=0,"",IF(F387=0,"",G387-F387))</f>
        <v/>
      </c>
      <c r="Q387" s="405" t="str">
        <f t="shared" si="214"/>
        <v/>
      </c>
      <c r="R387" s="406" t="str">
        <f>IF(P387="","",P387+N387)</f>
        <v/>
      </c>
      <c r="S387" s="404" t="str">
        <f t="shared" si="215"/>
        <v/>
      </c>
      <c r="T387" s="403" t="str">
        <f>IF(H387=0,"",IF(G387=0,"",H387-G387))</f>
        <v/>
      </c>
      <c r="U387" s="407" t="str">
        <f t="shared" si="216"/>
        <v/>
      </c>
      <c r="V387" s="408" t="str">
        <f>IF(T387="","",T387+R387)</f>
        <v/>
      </c>
      <c r="W387" s="404" t="str">
        <f t="shared" si="217"/>
        <v/>
      </c>
      <c r="X387" s="403" t="str">
        <f>IF(I387=0,"",IF(H387=0,"",I387-H387))</f>
        <v/>
      </c>
      <c r="Y387" s="407" t="str">
        <f t="shared" si="218"/>
        <v/>
      </c>
      <c r="Z387" s="408" t="str">
        <f>IF(X387="","",X387+V387)</f>
        <v/>
      </c>
      <c r="AA387" s="405" t="str">
        <f t="shared" si="219"/>
        <v/>
      </c>
      <c r="AB387" s="403" t="str">
        <f>IF(J387=0,"",IF(I387=0,"",J387-I387))</f>
        <v/>
      </c>
      <c r="AC387" s="405" t="str">
        <f t="shared" si="220"/>
        <v/>
      </c>
      <c r="AD387" s="406" t="str">
        <f t="shared" si="221"/>
        <v/>
      </c>
      <c r="AE387" s="404" t="str">
        <f t="shared" si="222"/>
        <v/>
      </c>
      <c r="AF387" s="403" t="str">
        <f>IF(K387=0,"",IF(J387=0,"",K387-J387))</f>
        <v/>
      </c>
      <c r="AG387" s="407" t="str">
        <f t="shared" si="223"/>
        <v/>
      </c>
      <c r="AH387" s="408" t="str">
        <f>IF(AF387="","",AF387+AD387)</f>
        <v/>
      </c>
      <c r="AI387" s="404" t="str">
        <f t="shared" si="224"/>
        <v/>
      </c>
      <c r="AJ387" s="403" t="str">
        <f>IF(L387=0,"",IF(K387=0,"",L387-K387))</f>
        <v/>
      </c>
      <c r="AK387" s="405" t="str">
        <f t="shared" si="225"/>
        <v/>
      </c>
      <c r="AL387" s="406" t="str">
        <f>IF(AJ387="","",AJ387+AH387)</f>
        <v/>
      </c>
      <c r="AM387" s="404" t="str">
        <f t="shared" si="226"/>
        <v/>
      </c>
      <c r="AN387" s="38"/>
    </row>
    <row r="388" spans="1:40" ht="12.75" x14ac:dyDescent="0.2">
      <c r="A388" s="26"/>
      <c r="B388" s="38"/>
      <c r="C388" s="799"/>
      <c r="D388" s="800"/>
      <c r="E388" s="423"/>
      <c r="F388" s="423"/>
      <c r="G388" s="423"/>
      <c r="H388" s="423"/>
      <c r="I388" s="423"/>
      <c r="J388" s="423"/>
      <c r="K388" s="423"/>
      <c r="L388" s="424"/>
      <c r="M388" s="45"/>
      <c r="N388" s="403" t="str">
        <f t="shared" si="212"/>
        <v/>
      </c>
      <c r="O388" s="404" t="str">
        <f t="shared" si="213"/>
        <v/>
      </c>
      <c r="P388" s="403" t="str">
        <f t="shared" si="228"/>
        <v/>
      </c>
      <c r="Q388" s="405" t="str">
        <f t="shared" si="214"/>
        <v/>
      </c>
      <c r="R388" s="406" t="str">
        <f t="shared" si="229"/>
        <v/>
      </c>
      <c r="S388" s="404" t="str">
        <f t="shared" si="215"/>
        <v/>
      </c>
      <c r="T388" s="403" t="str">
        <f t="shared" si="230"/>
        <v/>
      </c>
      <c r="U388" s="407" t="str">
        <f t="shared" si="216"/>
        <v/>
      </c>
      <c r="V388" s="408" t="str">
        <f t="shared" si="231"/>
        <v/>
      </c>
      <c r="W388" s="404" t="str">
        <f t="shared" si="217"/>
        <v/>
      </c>
      <c r="X388" s="403" t="str">
        <f t="shared" si="232"/>
        <v/>
      </c>
      <c r="Y388" s="407" t="str">
        <f t="shared" si="218"/>
        <v/>
      </c>
      <c r="Z388" s="408" t="str">
        <f t="shared" si="233"/>
        <v/>
      </c>
      <c r="AA388" s="405" t="str">
        <f t="shared" si="219"/>
        <v/>
      </c>
      <c r="AB388" s="403" t="str">
        <f t="shared" si="234"/>
        <v/>
      </c>
      <c r="AC388" s="405" t="str">
        <f t="shared" si="220"/>
        <v/>
      </c>
      <c r="AD388" s="406" t="str">
        <f t="shared" si="221"/>
        <v/>
      </c>
      <c r="AE388" s="404" t="str">
        <f t="shared" si="222"/>
        <v/>
      </c>
      <c r="AF388" s="403" t="str">
        <f t="shared" si="235"/>
        <v/>
      </c>
      <c r="AG388" s="407" t="str">
        <f t="shared" si="223"/>
        <v/>
      </c>
      <c r="AH388" s="408" t="str">
        <f t="shared" si="236"/>
        <v/>
      </c>
      <c r="AI388" s="404" t="str">
        <f t="shared" si="224"/>
        <v/>
      </c>
      <c r="AJ388" s="403" t="str">
        <f t="shared" si="237"/>
        <v/>
      </c>
      <c r="AK388" s="405" t="str">
        <f t="shared" si="225"/>
        <v/>
      </c>
      <c r="AL388" s="406" t="str">
        <f t="shared" si="238"/>
        <v/>
      </c>
      <c r="AM388" s="404" t="str">
        <f t="shared" si="226"/>
        <v/>
      </c>
      <c r="AN388" s="38"/>
    </row>
    <row r="389" spans="1:40" ht="12.75" x14ac:dyDescent="0.2">
      <c r="A389" s="26"/>
      <c r="B389" s="38"/>
      <c r="C389" s="799"/>
      <c r="D389" s="800"/>
      <c r="E389" s="415"/>
      <c r="F389" s="415"/>
      <c r="G389" s="415"/>
      <c r="H389" s="415"/>
      <c r="I389" s="415"/>
      <c r="J389" s="415"/>
      <c r="K389" s="415"/>
      <c r="L389" s="416"/>
      <c r="M389" s="45"/>
      <c r="N389" s="403" t="str">
        <f t="shared" si="212"/>
        <v/>
      </c>
      <c r="O389" s="404" t="str">
        <f t="shared" si="213"/>
        <v/>
      </c>
      <c r="P389" s="403" t="str">
        <f t="shared" si="228"/>
        <v/>
      </c>
      <c r="Q389" s="405" t="str">
        <f t="shared" si="214"/>
        <v/>
      </c>
      <c r="R389" s="406" t="str">
        <f t="shared" si="229"/>
        <v/>
      </c>
      <c r="S389" s="404" t="str">
        <f t="shared" si="215"/>
        <v/>
      </c>
      <c r="T389" s="403" t="str">
        <f t="shared" si="230"/>
        <v/>
      </c>
      <c r="U389" s="407" t="str">
        <f t="shared" si="216"/>
        <v/>
      </c>
      <c r="V389" s="408" t="str">
        <f t="shared" si="231"/>
        <v/>
      </c>
      <c r="W389" s="404" t="str">
        <f t="shared" si="217"/>
        <v/>
      </c>
      <c r="X389" s="403" t="str">
        <f t="shared" si="232"/>
        <v/>
      </c>
      <c r="Y389" s="407" t="str">
        <f t="shared" si="218"/>
        <v/>
      </c>
      <c r="Z389" s="408" t="str">
        <f t="shared" si="233"/>
        <v/>
      </c>
      <c r="AA389" s="405" t="str">
        <f t="shared" si="219"/>
        <v/>
      </c>
      <c r="AB389" s="403" t="str">
        <f t="shared" si="234"/>
        <v/>
      </c>
      <c r="AC389" s="405" t="str">
        <f t="shared" si="220"/>
        <v/>
      </c>
      <c r="AD389" s="406" t="str">
        <f t="shared" si="221"/>
        <v/>
      </c>
      <c r="AE389" s="404" t="str">
        <f t="shared" si="222"/>
        <v/>
      </c>
      <c r="AF389" s="403" t="str">
        <f t="shared" si="235"/>
        <v/>
      </c>
      <c r="AG389" s="407" t="str">
        <f t="shared" si="223"/>
        <v/>
      </c>
      <c r="AH389" s="408" t="str">
        <f t="shared" si="236"/>
        <v/>
      </c>
      <c r="AI389" s="404" t="str">
        <f t="shared" si="224"/>
        <v/>
      </c>
      <c r="AJ389" s="403" t="str">
        <f t="shared" si="237"/>
        <v/>
      </c>
      <c r="AK389" s="405" t="str">
        <f t="shared" si="225"/>
        <v/>
      </c>
      <c r="AL389" s="406" t="str">
        <f t="shared" si="238"/>
        <v/>
      </c>
      <c r="AM389" s="404" t="str">
        <f t="shared" si="226"/>
        <v/>
      </c>
      <c r="AN389" s="38"/>
    </row>
    <row r="390" spans="1:40" ht="12.75" x14ac:dyDescent="0.2">
      <c r="A390" s="26"/>
      <c r="B390" s="38"/>
      <c r="C390" s="799"/>
      <c r="D390" s="800"/>
      <c r="E390" s="415"/>
      <c r="F390" s="415"/>
      <c r="G390" s="415"/>
      <c r="H390" s="415"/>
      <c r="I390" s="415"/>
      <c r="J390" s="415"/>
      <c r="K390" s="415"/>
      <c r="L390" s="416"/>
      <c r="M390" s="45"/>
      <c r="N390" s="403" t="str">
        <f t="shared" si="212"/>
        <v/>
      </c>
      <c r="O390" s="404" t="str">
        <f t="shared" si="213"/>
        <v/>
      </c>
      <c r="P390" s="403" t="str">
        <f t="shared" si="228"/>
        <v/>
      </c>
      <c r="Q390" s="405" t="str">
        <f t="shared" si="214"/>
        <v/>
      </c>
      <c r="R390" s="406" t="str">
        <f t="shared" si="229"/>
        <v/>
      </c>
      <c r="S390" s="404" t="str">
        <f t="shared" si="215"/>
        <v/>
      </c>
      <c r="T390" s="403" t="str">
        <f t="shared" si="230"/>
        <v/>
      </c>
      <c r="U390" s="407" t="str">
        <f t="shared" si="216"/>
        <v/>
      </c>
      <c r="V390" s="408" t="str">
        <f t="shared" si="231"/>
        <v/>
      </c>
      <c r="W390" s="404" t="str">
        <f t="shared" si="217"/>
        <v/>
      </c>
      <c r="X390" s="403" t="str">
        <f t="shared" si="232"/>
        <v/>
      </c>
      <c r="Y390" s="407" t="str">
        <f t="shared" si="218"/>
        <v/>
      </c>
      <c r="Z390" s="408" t="str">
        <f t="shared" si="233"/>
        <v/>
      </c>
      <c r="AA390" s="405" t="str">
        <f t="shared" si="219"/>
        <v/>
      </c>
      <c r="AB390" s="403" t="str">
        <f t="shared" si="234"/>
        <v/>
      </c>
      <c r="AC390" s="405" t="str">
        <f t="shared" si="220"/>
        <v/>
      </c>
      <c r="AD390" s="406" t="str">
        <f t="shared" si="221"/>
        <v/>
      </c>
      <c r="AE390" s="404" t="str">
        <f t="shared" si="222"/>
        <v/>
      </c>
      <c r="AF390" s="403" t="str">
        <f t="shared" si="235"/>
        <v/>
      </c>
      <c r="AG390" s="407" t="str">
        <f t="shared" si="223"/>
        <v/>
      </c>
      <c r="AH390" s="408" t="str">
        <f t="shared" si="236"/>
        <v/>
      </c>
      <c r="AI390" s="404" t="str">
        <f t="shared" si="224"/>
        <v/>
      </c>
      <c r="AJ390" s="403" t="str">
        <f t="shared" si="237"/>
        <v/>
      </c>
      <c r="AK390" s="405" t="str">
        <f t="shared" si="225"/>
        <v/>
      </c>
      <c r="AL390" s="406" t="str">
        <f t="shared" si="238"/>
        <v/>
      </c>
      <c r="AM390" s="404" t="str">
        <f t="shared" si="226"/>
        <v/>
      </c>
      <c r="AN390" s="38"/>
    </row>
    <row r="391" spans="1:40" ht="13.5" thickBot="1" x14ac:dyDescent="0.25">
      <c r="A391" s="26"/>
      <c r="B391" s="38"/>
      <c r="C391" s="803"/>
      <c r="D391" s="804"/>
      <c r="E391" s="417"/>
      <c r="F391" s="417"/>
      <c r="G391" s="417"/>
      <c r="H391" s="417"/>
      <c r="I391" s="417"/>
      <c r="J391" s="417"/>
      <c r="K391" s="417"/>
      <c r="L391" s="418"/>
      <c r="M391" s="45"/>
      <c r="N391" s="409" t="str">
        <f t="shared" si="212"/>
        <v/>
      </c>
      <c r="O391" s="410" t="str">
        <f t="shared" si="213"/>
        <v/>
      </c>
      <c r="P391" s="409" t="str">
        <f t="shared" si="228"/>
        <v/>
      </c>
      <c r="Q391" s="411" t="str">
        <f t="shared" si="214"/>
        <v/>
      </c>
      <c r="R391" s="412" t="str">
        <f t="shared" si="229"/>
        <v/>
      </c>
      <c r="S391" s="410" t="str">
        <f t="shared" si="215"/>
        <v/>
      </c>
      <c r="T391" s="409" t="str">
        <f t="shared" si="230"/>
        <v/>
      </c>
      <c r="U391" s="413" t="str">
        <f t="shared" si="216"/>
        <v/>
      </c>
      <c r="V391" s="414" t="str">
        <f t="shared" si="231"/>
        <v/>
      </c>
      <c r="W391" s="410" t="str">
        <f t="shared" si="217"/>
        <v/>
      </c>
      <c r="X391" s="409" t="str">
        <f t="shared" si="232"/>
        <v/>
      </c>
      <c r="Y391" s="413" t="str">
        <f t="shared" si="218"/>
        <v/>
      </c>
      <c r="Z391" s="414" t="str">
        <f t="shared" si="233"/>
        <v/>
      </c>
      <c r="AA391" s="411" t="str">
        <f t="shared" si="219"/>
        <v/>
      </c>
      <c r="AB391" s="409" t="str">
        <f t="shared" si="234"/>
        <v/>
      </c>
      <c r="AC391" s="411" t="str">
        <f t="shared" si="220"/>
        <v/>
      </c>
      <c r="AD391" s="412" t="str">
        <f t="shared" si="221"/>
        <v/>
      </c>
      <c r="AE391" s="410" t="str">
        <f t="shared" si="222"/>
        <v/>
      </c>
      <c r="AF391" s="409" t="str">
        <f t="shared" si="235"/>
        <v/>
      </c>
      <c r="AG391" s="413" t="str">
        <f t="shared" si="223"/>
        <v/>
      </c>
      <c r="AH391" s="414" t="str">
        <f t="shared" si="236"/>
        <v/>
      </c>
      <c r="AI391" s="410" t="str">
        <f t="shared" si="224"/>
        <v/>
      </c>
      <c r="AJ391" s="409" t="str">
        <f t="shared" si="237"/>
        <v/>
      </c>
      <c r="AK391" s="411" t="str">
        <f t="shared" si="225"/>
        <v/>
      </c>
      <c r="AL391" s="412" t="str">
        <f t="shared" si="238"/>
        <v/>
      </c>
      <c r="AM391" s="410" t="str">
        <f t="shared" si="226"/>
        <v/>
      </c>
      <c r="AN391" s="38"/>
    </row>
    <row r="392" spans="1:40" ht="12.75" thickTop="1" x14ac:dyDescent="0.2">
      <c r="A392" s="26"/>
      <c r="B392" s="38"/>
      <c r="C392" s="38"/>
      <c r="D392" s="38"/>
      <c r="E392" s="38"/>
      <c r="F392" s="38"/>
      <c r="G392" s="38"/>
      <c r="H392" s="38"/>
      <c r="I392" s="38"/>
      <c r="J392" s="38"/>
      <c r="K392" s="38"/>
      <c r="L392" s="38"/>
      <c r="M392" s="38"/>
      <c r="N392" s="275"/>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row>
    <row r="393" spans="1:40" x14ac:dyDescent="0.2">
      <c r="A393" s="26"/>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row>
    <row r="394" spans="1:40" ht="15.75" x14ac:dyDescent="0.25">
      <c r="A394" s="26"/>
      <c r="B394" s="38"/>
      <c r="C394" s="84" t="s">
        <v>124</v>
      </c>
      <c r="D394" s="38"/>
      <c r="E394" s="38"/>
      <c r="F394" s="38"/>
      <c r="G394" s="38"/>
      <c r="H394" s="38"/>
      <c r="I394" s="38"/>
      <c r="J394" s="38"/>
      <c r="K394" s="38"/>
      <c r="L394" s="38"/>
      <c r="M394" s="38"/>
      <c r="N394" s="84"/>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row>
    <row r="395" spans="1:40" ht="12.75" thickBot="1" x14ac:dyDescent="0.25">
      <c r="A395" s="26"/>
      <c r="B395" s="38"/>
      <c r="C395" s="38"/>
      <c r="D395" s="38"/>
      <c r="E395" s="38"/>
      <c r="F395" s="38"/>
      <c r="G395" s="38"/>
      <c r="H395" s="38"/>
      <c r="I395" s="38"/>
      <c r="J395" s="38"/>
      <c r="K395" s="38"/>
      <c r="L395" s="38"/>
      <c r="M395" s="38"/>
      <c r="N395" s="277"/>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row>
    <row r="396" spans="1:40" ht="17.25" thickTop="1" thickBot="1" x14ac:dyDescent="0.3">
      <c r="A396" s="26"/>
      <c r="B396" s="38"/>
      <c r="C396" s="38"/>
      <c r="D396" s="38"/>
      <c r="E396" s="38"/>
      <c r="F396" s="805" t="s">
        <v>124</v>
      </c>
      <c r="G396" s="806"/>
      <c r="H396" s="806"/>
      <c r="I396" s="806"/>
      <c r="J396" s="806"/>
      <c r="K396" s="806"/>
      <c r="L396" s="807"/>
      <c r="M396" s="45"/>
      <c r="N396" s="810" t="s">
        <v>906</v>
      </c>
      <c r="O396" s="811"/>
      <c r="P396" s="811"/>
      <c r="Q396" s="811"/>
      <c r="R396" s="811"/>
      <c r="S396" s="811"/>
      <c r="T396" s="811"/>
      <c r="U396" s="811"/>
      <c r="V396" s="811"/>
      <c r="W396" s="811"/>
      <c r="X396" s="811"/>
      <c r="Y396" s="811"/>
      <c r="Z396" s="811"/>
      <c r="AA396" s="811"/>
      <c r="AB396" s="811"/>
      <c r="AC396" s="811"/>
      <c r="AD396" s="811"/>
      <c r="AE396" s="811"/>
      <c r="AF396" s="811"/>
      <c r="AG396" s="811"/>
      <c r="AH396" s="811"/>
      <c r="AI396" s="811"/>
      <c r="AJ396" s="811"/>
      <c r="AK396" s="811"/>
      <c r="AL396" s="811"/>
      <c r="AM396" s="812"/>
      <c r="AN396" s="38"/>
    </row>
    <row r="397" spans="1:40" ht="39" customHeight="1" thickTop="1" x14ac:dyDescent="0.2">
      <c r="A397" s="26"/>
      <c r="B397" s="38"/>
      <c r="C397" s="801" t="s">
        <v>106</v>
      </c>
      <c r="D397" s="802"/>
      <c r="E397" s="292" t="s">
        <v>918</v>
      </c>
      <c r="F397" s="293" t="s">
        <v>107</v>
      </c>
      <c r="G397" s="293" t="s">
        <v>108</v>
      </c>
      <c r="H397" s="293" t="s">
        <v>109</v>
      </c>
      <c r="I397" s="293" t="s">
        <v>110</v>
      </c>
      <c r="J397" s="293" t="s">
        <v>111</v>
      </c>
      <c r="K397" s="293" t="s">
        <v>112</v>
      </c>
      <c r="L397" s="294" t="s">
        <v>113</v>
      </c>
      <c r="M397" s="298"/>
      <c r="N397" s="796" t="s">
        <v>114</v>
      </c>
      <c r="O397" s="798"/>
      <c r="P397" s="796" t="s">
        <v>115</v>
      </c>
      <c r="Q397" s="797"/>
      <c r="R397" s="797"/>
      <c r="S397" s="798"/>
      <c r="T397" s="796" t="s">
        <v>116</v>
      </c>
      <c r="U397" s="797"/>
      <c r="V397" s="797"/>
      <c r="W397" s="798"/>
      <c r="X397" s="793" t="s">
        <v>117</v>
      </c>
      <c r="Y397" s="794"/>
      <c r="Z397" s="794"/>
      <c r="AA397" s="795"/>
      <c r="AB397" s="793" t="s">
        <v>118</v>
      </c>
      <c r="AC397" s="794"/>
      <c r="AD397" s="794"/>
      <c r="AE397" s="795"/>
      <c r="AF397" s="793" t="s">
        <v>119</v>
      </c>
      <c r="AG397" s="794"/>
      <c r="AH397" s="794"/>
      <c r="AI397" s="795"/>
      <c r="AJ397" s="793" t="s">
        <v>120</v>
      </c>
      <c r="AK397" s="794"/>
      <c r="AL397" s="794"/>
      <c r="AM397" s="795"/>
      <c r="AN397" s="38"/>
    </row>
    <row r="398" spans="1:40" ht="12.75" x14ac:dyDescent="0.2">
      <c r="A398" s="26"/>
      <c r="B398" s="38"/>
      <c r="C398" s="297"/>
      <c r="D398" s="88"/>
      <c r="E398" s="160" t="str">
        <f>E371</f>
        <v>2014/15</v>
      </c>
      <c r="F398" s="160" t="str">
        <f t="shared" ref="F398:L398" si="239">F371</f>
        <v>2015/16</v>
      </c>
      <c r="G398" s="160" t="str">
        <f t="shared" si="239"/>
        <v>2016/17</v>
      </c>
      <c r="H398" s="160" t="str">
        <f t="shared" si="239"/>
        <v>2017/18</v>
      </c>
      <c r="I398" s="160" t="str">
        <f t="shared" si="239"/>
        <v>2018/19</v>
      </c>
      <c r="J398" s="160" t="str">
        <f t="shared" si="239"/>
        <v>2019/20</v>
      </c>
      <c r="K398" s="160" t="str">
        <f t="shared" si="239"/>
        <v>2020/21</v>
      </c>
      <c r="L398" s="182" t="str">
        <f t="shared" si="239"/>
        <v>2021/22</v>
      </c>
      <c r="M398" s="298"/>
      <c r="N398" s="251" t="s">
        <v>102</v>
      </c>
      <c r="O398" s="248" t="s">
        <v>125</v>
      </c>
      <c r="P398" s="251" t="s">
        <v>102</v>
      </c>
      <c r="Q398" s="247" t="s">
        <v>125</v>
      </c>
      <c r="R398" s="244" t="s">
        <v>103</v>
      </c>
      <c r="S398" s="248" t="s">
        <v>125</v>
      </c>
      <c r="T398" s="251" t="s">
        <v>102</v>
      </c>
      <c r="U398" s="247" t="s">
        <v>125</v>
      </c>
      <c r="V398" s="244" t="s">
        <v>103</v>
      </c>
      <c r="W398" s="248" t="s">
        <v>125</v>
      </c>
      <c r="X398" s="251" t="s">
        <v>102</v>
      </c>
      <c r="Y398" s="247" t="s">
        <v>125</v>
      </c>
      <c r="Z398" s="244" t="s">
        <v>103</v>
      </c>
      <c r="AA398" s="248" t="s">
        <v>125</v>
      </c>
      <c r="AB398" s="251" t="s">
        <v>102</v>
      </c>
      <c r="AC398" s="247" t="s">
        <v>125</v>
      </c>
      <c r="AD398" s="244" t="s">
        <v>103</v>
      </c>
      <c r="AE398" s="248" t="s">
        <v>125</v>
      </c>
      <c r="AF398" s="251" t="s">
        <v>102</v>
      </c>
      <c r="AG398" s="247" t="s">
        <v>125</v>
      </c>
      <c r="AH398" s="244" t="s">
        <v>103</v>
      </c>
      <c r="AI398" s="248" t="s">
        <v>125</v>
      </c>
      <c r="AJ398" s="251" t="s">
        <v>102</v>
      </c>
      <c r="AK398" s="244" t="s">
        <v>125</v>
      </c>
      <c r="AL398" s="245" t="s">
        <v>103</v>
      </c>
      <c r="AM398" s="248" t="s">
        <v>125</v>
      </c>
      <c r="AN398" s="38"/>
    </row>
    <row r="399" spans="1:40" ht="12.75" x14ac:dyDescent="0.2">
      <c r="A399" s="26"/>
      <c r="B399" s="38"/>
      <c r="C399" s="799" t="s">
        <v>978</v>
      </c>
      <c r="D399" s="800"/>
      <c r="E399" s="415">
        <v>25</v>
      </c>
      <c r="F399" s="415">
        <v>25</v>
      </c>
      <c r="G399" s="415">
        <v>25</v>
      </c>
      <c r="H399" s="415">
        <v>25</v>
      </c>
      <c r="I399" s="415">
        <v>25</v>
      </c>
      <c r="J399" s="415">
        <v>25</v>
      </c>
      <c r="K399" s="415">
        <v>25</v>
      </c>
      <c r="L399" s="415">
        <v>25</v>
      </c>
      <c r="M399" s="45"/>
      <c r="N399" s="403">
        <f t="shared" ref="N399:N408" si="240">IF(F399=0,"",IF(E399=0,"",F399-E399))</f>
        <v>0</v>
      </c>
      <c r="O399" s="404">
        <f t="shared" ref="O399:O408" si="241">IF(N399="","",N399/E399)</f>
        <v>0</v>
      </c>
      <c r="P399" s="403">
        <f>IF(G399=0,"",IF(F399=0,"",G399-F399))</f>
        <v>0</v>
      </c>
      <c r="Q399" s="405">
        <f t="shared" ref="Q399:Q408" si="242">IF(P399="","",P399/F399)</f>
        <v>0</v>
      </c>
      <c r="R399" s="406">
        <f>IF(P399="","",P399+N399)</f>
        <v>0</v>
      </c>
      <c r="S399" s="404">
        <f t="shared" ref="S399:S408" si="243">IF(R399="","",R399/E399)</f>
        <v>0</v>
      </c>
      <c r="T399" s="403">
        <f>IF(H399=0,"",IF(G399=0,"",H399-G399))</f>
        <v>0</v>
      </c>
      <c r="U399" s="405">
        <f t="shared" ref="U399:U408" si="244">IF(T399="","",T399/G399)</f>
        <v>0</v>
      </c>
      <c r="V399" s="406">
        <f>IF(T399="","",T399+R399)</f>
        <v>0</v>
      </c>
      <c r="W399" s="404">
        <f t="shared" ref="W399:W408" si="245">IF(V399="","",V399/E399)</f>
        <v>0</v>
      </c>
      <c r="X399" s="403">
        <f>IF(I399=0,"",IF(H399=0,"",I399-H399))</f>
        <v>0</v>
      </c>
      <c r="Y399" s="405">
        <f t="shared" ref="Y399:Y408" si="246">IF(X399="","",X399/H399)</f>
        <v>0</v>
      </c>
      <c r="Z399" s="406">
        <f>IF(X399="","",X399+V399)</f>
        <v>0</v>
      </c>
      <c r="AA399" s="404">
        <f t="shared" ref="AA399:AA408" si="247">IF(Z399="","",Z399/E399)</f>
        <v>0</v>
      </c>
      <c r="AB399" s="403">
        <f>IF(J399=0,"",IF(I399=0,"",J399-I399))</f>
        <v>0</v>
      </c>
      <c r="AC399" s="425">
        <f t="shared" ref="AC399:AC408" si="248">IF(AB399="","",AB399/I399)</f>
        <v>0</v>
      </c>
      <c r="AD399" s="406">
        <f t="shared" ref="AD399:AD408" si="249">IF(AB399="","",AB399+Z399)</f>
        <v>0</v>
      </c>
      <c r="AE399" s="404">
        <f t="shared" ref="AE399:AE408" si="250">IF(AD399="","",AD399/E399)</f>
        <v>0</v>
      </c>
      <c r="AF399" s="403">
        <f>IF(K399=0,"",IF(J399=0,"",K399-J399))</f>
        <v>0</v>
      </c>
      <c r="AG399" s="405">
        <f t="shared" ref="AG399:AG408" si="251">IF(AF399="","",AF399/J399)</f>
        <v>0</v>
      </c>
      <c r="AH399" s="406">
        <f>IF(AF399="","",AF399+AD399)</f>
        <v>0</v>
      </c>
      <c r="AI399" s="404">
        <f t="shared" ref="AI399:AI408" si="252">IF(AH399="","",AH399/E399)</f>
        <v>0</v>
      </c>
      <c r="AJ399" s="403">
        <f>IF(L399=0,"",IF(K399=0,"",L399-K399))</f>
        <v>0</v>
      </c>
      <c r="AK399" s="407">
        <f t="shared" ref="AK399:AK408" si="253">IF(AJ399="","",AJ399/K399)</f>
        <v>0</v>
      </c>
      <c r="AL399" s="408">
        <f>IF(AJ399="","",AJ399+AH399)</f>
        <v>0</v>
      </c>
      <c r="AM399" s="404">
        <f t="shared" ref="AM399:AM408" si="254">IF(AL399="","",AL399/E399)</f>
        <v>0</v>
      </c>
      <c r="AN399" s="38"/>
    </row>
    <row r="400" spans="1:40" ht="12.75" x14ac:dyDescent="0.2">
      <c r="A400" s="26"/>
      <c r="B400" s="38"/>
      <c r="C400" s="799" t="s">
        <v>979</v>
      </c>
      <c r="D400" s="800"/>
      <c r="E400" s="415">
        <v>12.5</v>
      </c>
      <c r="F400" s="415">
        <v>12.5</v>
      </c>
      <c r="G400" s="415">
        <v>12.5</v>
      </c>
      <c r="H400" s="415">
        <v>12.5</v>
      </c>
      <c r="I400" s="415">
        <v>12.5</v>
      </c>
      <c r="J400" s="415">
        <v>12.5</v>
      </c>
      <c r="K400" s="415">
        <v>12.5</v>
      </c>
      <c r="L400" s="415">
        <v>12.5</v>
      </c>
      <c r="M400" s="45"/>
      <c r="N400" s="403">
        <f t="shared" si="240"/>
        <v>0</v>
      </c>
      <c r="O400" s="404">
        <f t="shared" si="241"/>
        <v>0</v>
      </c>
      <c r="P400" s="403">
        <f>IF(G400=0,"",IF(F400=0,"",G400-F400))</f>
        <v>0</v>
      </c>
      <c r="Q400" s="405">
        <f t="shared" si="242"/>
        <v>0</v>
      </c>
      <c r="R400" s="406">
        <f>IF(P400="","",P400+N400)</f>
        <v>0</v>
      </c>
      <c r="S400" s="404">
        <f t="shared" si="243"/>
        <v>0</v>
      </c>
      <c r="T400" s="403">
        <f>IF(H400=0,"",IF(G400=0,"",H400-G400))</f>
        <v>0</v>
      </c>
      <c r="U400" s="405">
        <f t="shared" si="244"/>
        <v>0</v>
      </c>
      <c r="V400" s="406">
        <f>IF(T400="","",T400+R400)</f>
        <v>0</v>
      </c>
      <c r="W400" s="404">
        <f t="shared" si="245"/>
        <v>0</v>
      </c>
      <c r="X400" s="403">
        <f>IF(I400=0,"",IF(H400=0,"",I400-H400))</f>
        <v>0</v>
      </c>
      <c r="Y400" s="405">
        <f t="shared" si="246"/>
        <v>0</v>
      </c>
      <c r="Z400" s="406">
        <f>IF(X400="","",X400+V400)</f>
        <v>0</v>
      </c>
      <c r="AA400" s="404">
        <f t="shared" si="247"/>
        <v>0</v>
      </c>
      <c r="AB400" s="426">
        <f>IF(J400=0,"",IF(I400=0,"",J400-I400))</f>
        <v>0</v>
      </c>
      <c r="AC400" s="405">
        <f t="shared" si="248"/>
        <v>0</v>
      </c>
      <c r="AD400" s="406">
        <f t="shared" si="249"/>
        <v>0</v>
      </c>
      <c r="AE400" s="404">
        <f t="shared" si="250"/>
        <v>0</v>
      </c>
      <c r="AF400" s="403">
        <f>IF(K400=0,"",IF(J400=0,"",K400-J400))</f>
        <v>0</v>
      </c>
      <c r="AG400" s="405">
        <f t="shared" si="251"/>
        <v>0</v>
      </c>
      <c r="AH400" s="406">
        <f>IF(AF400="","",AF400+AD400)</f>
        <v>0</v>
      </c>
      <c r="AI400" s="404">
        <f t="shared" si="252"/>
        <v>0</v>
      </c>
      <c r="AJ400" s="403">
        <f>IF(L400=0,"",IF(K400=0,"",L400-K400))</f>
        <v>0</v>
      </c>
      <c r="AK400" s="407">
        <f t="shared" si="253"/>
        <v>0</v>
      </c>
      <c r="AL400" s="408">
        <f>IF(AJ400="","",AJ400+AH400)</f>
        <v>0</v>
      </c>
      <c r="AM400" s="404">
        <f t="shared" si="254"/>
        <v>0</v>
      </c>
      <c r="AN400" s="38"/>
    </row>
    <row r="401" spans="1:40" ht="12.75" x14ac:dyDescent="0.2">
      <c r="A401" s="26"/>
      <c r="B401" s="38"/>
      <c r="C401" s="799"/>
      <c r="D401" s="800"/>
      <c r="E401" s="415"/>
      <c r="F401" s="415"/>
      <c r="G401" s="415"/>
      <c r="H401" s="415"/>
      <c r="I401" s="415"/>
      <c r="J401" s="415"/>
      <c r="K401" s="415"/>
      <c r="L401" s="415"/>
      <c r="M401" s="45"/>
      <c r="N401" s="403" t="str">
        <f t="shared" si="240"/>
        <v/>
      </c>
      <c r="O401" s="404" t="str">
        <f t="shared" si="241"/>
        <v/>
      </c>
      <c r="P401" s="403" t="str">
        <f t="shared" ref="P401:P408" si="255">IF(G401=0,"",IF(F401=0,"",G401-F401))</f>
        <v/>
      </c>
      <c r="Q401" s="405" t="str">
        <f t="shared" si="242"/>
        <v/>
      </c>
      <c r="R401" s="406" t="str">
        <f t="shared" ref="R401:R408" si="256">IF(P401="","",P401+N401)</f>
        <v/>
      </c>
      <c r="S401" s="404" t="str">
        <f t="shared" si="243"/>
        <v/>
      </c>
      <c r="T401" s="403" t="str">
        <f t="shared" ref="T401:T408" si="257">IF(H401=0,"",IF(G401=0,"",H401-G401))</f>
        <v/>
      </c>
      <c r="U401" s="405" t="str">
        <f t="shared" si="244"/>
        <v/>
      </c>
      <c r="V401" s="406" t="str">
        <f t="shared" ref="V401:V408" si="258">IF(T401="","",T401+R401)</f>
        <v/>
      </c>
      <c r="W401" s="404" t="str">
        <f t="shared" si="245"/>
        <v/>
      </c>
      <c r="X401" s="403" t="str">
        <f t="shared" ref="X401:X408" si="259">IF(I401=0,"",IF(H401=0,"",I401-H401))</f>
        <v/>
      </c>
      <c r="Y401" s="405" t="str">
        <f t="shared" si="246"/>
        <v/>
      </c>
      <c r="Z401" s="406" t="str">
        <f t="shared" ref="Z401:Z408" si="260">IF(X401="","",X401+V401)</f>
        <v/>
      </c>
      <c r="AA401" s="404" t="str">
        <f t="shared" si="247"/>
        <v/>
      </c>
      <c r="AB401" s="403" t="str">
        <f t="shared" ref="AB401:AB408" si="261">IF(J401=0,"",IF(I401=0,"",J401-I401))</f>
        <v/>
      </c>
      <c r="AC401" s="405" t="str">
        <f t="shared" si="248"/>
        <v/>
      </c>
      <c r="AD401" s="406" t="str">
        <f t="shared" si="249"/>
        <v/>
      </c>
      <c r="AE401" s="404" t="str">
        <f t="shared" si="250"/>
        <v/>
      </c>
      <c r="AF401" s="403" t="str">
        <f t="shared" ref="AF401:AF408" si="262">IF(K401=0,"",IF(J401=0,"",K401-J401))</f>
        <v/>
      </c>
      <c r="AG401" s="405" t="str">
        <f t="shared" si="251"/>
        <v/>
      </c>
      <c r="AH401" s="406" t="str">
        <f t="shared" ref="AH401:AH408" si="263">IF(AF401="","",AF401+AD401)</f>
        <v/>
      </c>
      <c r="AI401" s="404" t="str">
        <f t="shared" si="252"/>
        <v/>
      </c>
      <c r="AJ401" s="403" t="str">
        <f t="shared" ref="AJ401:AJ408" si="264">IF(L401=0,"",IF(K401=0,"",L401-K401))</f>
        <v/>
      </c>
      <c r="AK401" s="407" t="str">
        <f t="shared" si="253"/>
        <v/>
      </c>
      <c r="AL401" s="408" t="str">
        <f t="shared" ref="AL401:AL408" si="265">IF(AJ401="","",AJ401+AH401)</f>
        <v/>
      </c>
      <c r="AM401" s="404" t="str">
        <f t="shared" si="254"/>
        <v/>
      </c>
      <c r="AN401" s="38"/>
    </row>
    <row r="402" spans="1:40" ht="12.75" x14ac:dyDescent="0.2">
      <c r="A402" s="26"/>
      <c r="B402" s="38"/>
      <c r="C402" s="799"/>
      <c r="D402" s="800"/>
      <c r="E402" s="415"/>
      <c r="F402" s="415"/>
      <c r="G402" s="415"/>
      <c r="H402" s="415"/>
      <c r="I402" s="415"/>
      <c r="J402" s="415"/>
      <c r="K402" s="415"/>
      <c r="L402" s="416"/>
      <c r="M402" s="45"/>
      <c r="N402" s="403" t="str">
        <f t="shared" si="240"/>
        <v/>
      </c>
      <c r="O402" s="404" t="str">
        <f t="shared" si="241"/>
        <v/>
      </c>
      <c r="P402" s="403" t="str">
        <f t="shared" si="255"/>
        <v/>
      </c>
      <c r="Q402" s="405" t="str">
        <f t="shared" si="242"/>
        <v/>
      </c>
      <c r="R402" s="406" t="str">
        <f t="shared" si="256"/>
        <v/>
      </c>
      <c r="S402" s="404" t="str">
        <f t="shared" si="243"/>
        <v/>
      </c>
      <c r="T402" s="403" t="str">
        <f t="shared" si="257"/>
        <v/>
      </c>
      <c r="U402" s="405" t="str">
        <f t="shared" si="244"/>
        <v/>
      </c>
      <c r="V402" s="406" t="str">
        <f t="shared" si="258"/>
        <v/>
      </c>
      <c r="W402" s="404" t="str">
        <f t="shared" si="245"/>
        <v/>
      </c>
      <c r="X402" s="403" t="str">
        <f t="shared" si="259"/>
        <v/>
      </c>
      <c r="Y402" s="405" t="str">
        <f t="shared" si="246"/>
        <v/>
      </c>
      <c r="Z402" s="406" t="str">
        <f t="shared" si="260"/>
        <v/>
      </c>
      <c r="AA402" s="404" t="str">
        <f t="shared" si="247"/>
        <v/>
      </c>
      <c r="AB402" s="403" t="str">
        <f t="shared" si="261"/>
        <v/>
      </c>
      <c r="AC402" s="405" t="str">
        <f t="shared" si="248"/>
        <v/>
      </c>
      <c r="AD402" s="406" t="str">
        <f t="shared" si="249"/>
        <v/>
      </c>
      <c r="AE402" s="404" t="str">
        <f t="shared" si="250"/>
        <v/>
      </c>
      <c r="AF402" s="403" t="str">
        <f t="shared" si="262"/>
        <v/>
      </c>
      <c r="AG402" s="405" t="str">
        <f t="shared" si="251"/>
        <v/>
      </c>
      <c r="AH402" s="406" t="str">
        <f t="shared" si="263"/>
        <v/>
      </c>
      <c r="AI402" s="404" t="str">
        <f t="shared" si="252"/>
        <v/>
      </c>
      <c r="AJ402" s="403" t="str">
        <f t="shared" si="264"/>
        <v/>
      </c>
      <c r="AK402" s="407" t="str">
        <f t="shared" si="253"/>
        <v/>
      </c>
      <c r="AL402" s="408" t="str">
        <f t="shared" si="265"/>
        <v/>
      </c>
      <c r="AM402" s="404" t="str">
        <f t="shared" si="254"/>
        <v/>
      </c>
      <c r="AN402" s="38"/>
    </row>
    <row r="403" spans="1:40" ht="12.75" x14ac:dyDescent="0.2">
      <c r="A403" s="26"/>
      <c r="B403" s="38"/>
      <c r="C403" s="799"/>
      <c r="D403" s="800"/>
      <c r="E403" s="415"/>
      <c r="F403" s="415"/>
      <c r="G403" s="415"/>
      <c r="H403" s="415"/>
      <c r="I403" s="415"/>
      <c r="J403" s="415"/>
      <c r="K403" s="415"/>
      <c r="L403" s="416"/>
      <c r="M403" s="45"/>
      <c r="N403" s="403" t="str">
        <f t="shared" si="240"/>
        <v/>
      </c>
      <c r="O403" s="404" t="str">
        <f t="shared" si="241"/>
        <v/>
      </c>
      <c r="P403" s="403" t="str">
        <f t="shared" si="255"/>
        <v/>
      </c>
      <c r="Q403" s="405" t="str">
        <f t="shared" si="242"/>
        <v/>
      </c>
      <c r="R403" s="406" t="str">
        <f t="shared" si="256"/>
        <v/>
      </c>
      <c r="S403" s="404" t="str">
        <f t="shared" si="243"/>
        <v/>
      </c>
      <c r="T403" s="403" t="str">
        <f t="shared" si="257"/>
        <v/>
      </c>
      <c r="U403" s="405" t="str">
        <f t="shared" si="244"/>
        <v/>
      </c>
      <c r="V403" s="406" t="str">
        <f t="shared" si="258"/>
        <v/>
      </c>
      <c r="W403" s="404" t="str">
        <f t="shared" si="245"/>
        <v/>
      </c>
      <c r="X403" s="403" t="str">
        <f t="shared" si="259"/>
        <v/>
      </c>
      <c r="Y403" s="405" t="str">
        <f t="shared" si="246"/>
        <v/>
      </c>
      <c r="Z403" s="406" t="str">
        <f t="shared" si="260"/>
        <v/>
      </c>
      <c r="AA403" s="404" t="str">
        <f t="shared" si="247"/>
        <v/>
      </c>
      <c r="AB403" s="403" t="str">
        <f t="shared" si="261"/>
        <v/>
      </c>
      <c r="AC403" s="405" t="str">
        <f t="shared" si="248"/>
        <v/>
      </c>
      <c r="AD403" s="406" t="str">
        <f t="shared" si="249"/>
        <v/>
      </c>
      <c r="AE403" s="404" t="str">
        <f t="shared" si="250"/>
        <v/>
      </c>
      <c r="AF403" s="403" t="str">
        <f t="shared" si="262"/>
        <v/>
      </c>
      <c r="AG403" s="405" t="str">
        <f t="shared" si="251"/>
        <v/>
      </c>
      <c r="AH403" s="406" t="str">
        <f t="shared" si="263"/>
        <v/>
      </c>
      <c r="AI403" s="404" t="str">
        <f t="shared" si="252"/>
        <v/>
      </c>
      <c r="AJ403" s="403" t="str">
        <f t="shared" si="264"/>
        <v/>
      </c>
      <c r="AK403" s="407" t="str">
        <f t="shared" si="253"/>
        <v/>
      </c>
      <c r="AL403" s="408" t="str">
        <f t="shared" si="265"/>
        <v/>
      </c>
      <c r="AM403" s="404" t="str">
        <f t="shared" si="254"/>
        <v/>
      </c>
      <c r="AN403" s="38"/>
    </row>
    <row r="404" spans="1:40" ht="12.75" x14ac:dyDescent="0.2">
      <c r="A404" s="26"/>
      <c r="B404" s="38"/>
      <c r="C404" s="799"/>
      <c r="D404" s="800"/>
      <c r="E404" s="415"/>
      <c r="F404" s="415"/>
      <c r="G404" s="415"/>
      <c r="H404" s="415"/>
      <c r="I404" s="415"/>
      <c r="J404" s="415"/>
      <c r="K404" s="415"/>
      <c r="L404" s="416"/>
      <c r="M404" s="45"/>
      <c r="N404" s="403" t="str">
        <f t="shared" si="240"/>
        <v/>
      </c>
      <c r="O404" s="404" t="str">
        <f t="shared" si="241"/>
        <v/>
      </c>
      <c r="P404" s="403" t="str">
        <f t="shared" si="255"/>
        <v/>
      </c>
      <c r="Q404" s="405" t="str">
        <f t="shared" si="242"/>
        <v/>
      </c>
      <c r="R404" s="406" t="str">
        <f t="shared" si="256"/>
        <v/>
      </c>
      <c r="S404" s="404" t="str">
        <f t="shared" si="243"/>
        <v/>
      </c>
      <c r="T404" s="403" t="str">
        <f t="shared" si="257"/>
        <v/>
      </c>
      <c r="U404" s="405" t="str">
        <f t="shared" si="244"/>
        <v/>
      </c>
      <c r="V404" s="406" t="str">
        <f t="shared" si="258"/>
        <v/>
      </c>
      <c r="W404" s="404" t="str">
        <f t="shared" si="245"/>
        <v/>
      </c>
      <c r="X404" s="403" t="str">
        <f t="shared" si="259"/>
        <v/>
      </c>
      <c r="Y404" s="405" t="str">
        <f t="shared" si="246"/>
        <v/>
      </c>
      <c r="Z404" s="406" t="str">
        <f t="shared" si="260"/>
        <v/>
      </c>
      <c r="AA404" s="404" t="str">
        <f t="shared" si="247"/>
        <v/>
      </c>
      <c r="AB404" s="403" t="str">
        <f t="shared" si="261"/>
        <v/>
      </c>
      <c r="AC404" s="405" t="str">
        <f t="shared" si="248"/>
        <v/>
      </c>
      <c r="AD404" s="406" t="str">
        <f t="shared" si="249"/>
        <v/>
      </c>
      <c r="AE404" s="404" t="str">
        <f t="shared" si="250"/>
        <v/>
      </c>
      <c r="AF404" s="403" t="str">
        <f t="shared" si="262"/>
        <v/>
      </c>
      <c r="AG404" s="405" t="str">
        <f t="shared" si="251"/>
        <v/>
      </c>
      <c r="AH404" s="406" t="str">
        <f t="shared" si="263"/>
        <v/>
      </c>
      <c r="AI404" s="404" t="str">
        <f t="shared" si="252"/>
        <v/>
      </c>
      <c r="AJ404" s="403" t="str">
        <f t="shared" si="264"/>
        <v/>
      </c>
      <c r="AK404" s="407" t="str">
        <f t="shared" si="253"/>
        <v/>
      </c>
      <c r="AL404" s="408" t="str">
        <f t="shared" si="265"/>
        <v/>
      </c>
      <c r="AM404" s="404" t="str">
        <f t="shared" si="254"/>
        <v/>
      </c>
      <c r="AN404" s="38"/>
    </row>
    <row r="405" spans="1:40" ht="12.75" x14ac:dyDescent="0.2">
      <c r="A405" s="26"/>
      <c r="B405" s="38"/>
      <c r="C405" s="799"/>
      <c r="D405" s="800"/>
      <c r="E405" s="415"/>
      <c r="F405" s="415"/>
      <c r="G405" s="415"/>
      <c r="H405" s="415"/>
      <c r="I405" s="415"/>
      <c r="J405" s="415"/>
      <c r="K405" s="415"/>
      <c r="L405" s="416"/>
      <c r="M405" s="45"/>
      <c r="N405" s="403" t="str">
        <f t="shared" si="240"/>
        <v/>
      </c>
      <c r="O405" s="404" t="str">
        <f t="shared" si="241"/>
        <v/>
      </c>
      <c r="P405" s="403" t="str">
        <f t="shared" si="255"/>
        <v/>
      </c>
      <c r="Q405" s="405" t="str">
        <f t="shared" si="242"/>
        <v/>
      </c>
      <c r="R405" s="406" t="str">
        <f t="shared" si="256"/>
        <v/>
      </c>
      <c r="S405" s="404" t="str">
        <f t="shared" si="243"/>
        <v/>
      </c>
      <c r="T405" s="403" t="str">
        <f t="shared" si="257"/>
        <v/>
      </c>
      <c r="U405" s="405" t="str">
        <f t="shared" si="244"/>
        <v/>
      </c>
      <c r="V405" s="406" t="str">
        <f t="shared" si="258"/>
        <v/>
      </c>
      <c r="W405" s="404" t="str">
        <f t="shared" si="245"/>
        <v/>
      </c>
      <c r="X405" s="403" t="str">
        <f t="shared" si="259"/>
        <v/>
      </c>
      <c r="Y405" s="405" t="str">
        <f t="shared" si="246"/>
        <v/>
      </c>
      <c r="Z405" s="406" t="str">
        <f t="shared" si="260"/>
        <v/>
      </c>
      <c r="AA405" s="404" t="str">
        <f t="shared" si="247"/>
        <v/>
      </c>
      <c r="AB405" s="403" t="str">
        <f t="shared" si="261"/>
        <v/>
      </c>
      <c r="AC405" s="405" t="str">
        <f t="shared" si="248"/>
        <v/>
      </c>
      <c r="AD405" s="406" t="str">
        <f t="shared" si="249"/>
        <v/>
      </c>
      <c r="AE405" s="404" t="str">
        <f t="shared" si="250"/>
        <v/>
      </c>
      <c r="AF405" s="403" t="str">
        <f t="shared" si="262"/>
        <v/>
      </c>
      <c r="AG405" s="405" t="str">
        <f t="shared" si="251"/>
        <v/>
      </c>
      <c r="AH405" s="406" t="str">
        <f t="shared" si="263"/>
        <v/>
      </c>
      <c r="AI405" s="404" t="str">
        <f t="shared" si="252"/>
        <v/>
      </c>
      <c r="AJ405" s="403" t="str">
        <f t="shared" si="264"/>
        <v/>
      </c>
      <c r="AK405" s="407" t="str">
        <f t="shared" si="253"/>
        <v/>
      </c>
      <c r="AL405" s="408" t="str">
        <f t="shared" si="265"/>
        <v/>
      </c>
      <c r="AM405" s="404" t="str">
        <f t="shared" si="254"/>
        <v/>
      </c>
      <c r="AN405" s="38"/>
    </row>
    <row r="406" spans="1:40" ht="12.75" x14ac:dyDescent="0.2">
      <c r="A406" s="26"/>
      <c r="B406" s="38"/>
      <c r="C406" s="799"/>
      <c r="D406" s="800"/>
      <c r="E406" s="415"/>
      <c r="F406" s="415"/>
      <c r="G406" s="415"/>
      <c r="H406" s="415"/>
      <c r="I406" s="415"/>
      <c r="J406" s="415"/>
      <c r="K406" s="415"/>
      <c r="L406" s="416"/>
      <c r="M406" s="45"/>
      <c r="N406" s="403" t="str">
        <f t="shared" si="240"/>
        <v/>
      </c>
      <c r="O406" s="404" t="str">
        <f t="shared" si="241"/>
        <v/>
      </c>
      <c r="P406" s="403" t="str">
        <f t="shared" si="255"/>
        <v/>
      </c>
      <c r="Q406" s="405" t="str">
        <f t="shared" si="242"/>
        <v/>
      </c>
      <c r="R406" s="406" t="str">
        <f t="shared" si="256"/>
        <v/>
      </c>
      <c r="S406" s="404" t="str">
        <f t="shared" si="243"/>
        <v/>
      </c>
      <c r="T406" s="403" t="str">
        <f t="shared" si="257"/>
        <v/>
      </c>
      <c r="U406" s="405" t="str">
        <f t="shared" si="244"/>
        <v/>
      </c>
      <c r="V406" s="406" t="str">
        <f t="shared" si="258"/>
        <v/>
      </c>
      <c r="W406" s="404" t="str">
        <f t="shared" si="245"/>
        <v/>
      </c>
      <c r="X406" s="403" t="str">
        <f t="shared" si="259"/>
        <v/>
      </c>
      <c r="Y406" s="405" t="str">
        <f t="shared" si="246"/>
        <v/>
      </c>
      <c r="Z406" s="406" t="str">
        <f t="shared" si="260"/>
        <v/>
      </c>
      <c r="AA406" s="404" t="str">
        <f t="shared" si="247"/>
        <v/>
      </c>
      <c r="AB406" s="403" t="str">
        <f t="shared" si="261"/>
        <v/>
      </c>
      <c r="AC406" s="405" t="str">
        <f t="shared" si="248"/>
        <v/>
      </c>
      <c r="AD406" s="406" t="str">
        <f t="shared" si="249"/>
        <v/>
      </c>
      <c r="AE406" s="404" t="str">
        <f t="shared" si="250"/>
        <v/>
      </c>
      <c r="AF406" s="403" t="str">
        <f t="shared" si="262"/>
        <v/>
      </c>
      <c r="AG406" s="405" t="str">
        <f t="shared" si="251"/>
        <v/>
      </c>
      <c r="AH406" s="406" t="str">
        <f t="shared" si="263"/>
        <v/>
      </c>
      <c r="AI406" s="404" t="str">
        <f t="shared" si="252"/>
        <v/>
      </c>
      <c r="AJ406" s="403" t="str">
        <f t="shared" si="264"/>
        <v/>
      </c>
      <c r="AK406" s="407" t="str">
        <f t="shared" si="253"/>
        <v/>
      </c>
      <c r="AL406" s="408" t="str">
        <f t="shared" si="265"/>
        <v/>
      </c>
      <c r="AM406" s="404" t="str">
        <f t="shared" si="254"/>
        <v/>
      </c>
      <c r="AN406" s="38"/>
    </row>
    <row r="407" spans="1:40" ht="12.75" x14ac:dyDescent="0.2">
      <c r="A407" s="26"/>
      <c r="B407" s="38"/>
      <c r="C407" s="799"/>
      <c r="D407" s="800"/>
      <c r="E407" s="415"/>
      <c r="F407" s="415"/>
      <c r="G407" s="415"/>
      <c r="H407" s="415"/>
      <c r="I407" s="415"/>
      <c r="J407" s="415"/>
      <c r="K407" s="415"/>
      <c r="L407" s="416"/>
      <c r="M407" s="45"/>
      <c r="N407" s="403" t="str">
        <f t="shared" si="240"/>
        <v/>
      </c>
      <c r="O407" s="404" t="str">
        <f t="shared" si="241"/>
        <v/>
      </c>
      <c r="P407" s="403" t="str">
        <f t="shared" si="255"/>
        <v/>
      </c>
      <c r="Q407" s="405" t="str">
        <f t="shared" si="242"/>
        <v/>
      </c>
      <c r="R407" s="406" t="str">
        <f t="shared" si="256"/>
        <v/>
      </c>
      <c r="S407" s="404" t="str">
        <f t="shared" si="243"/>
        <v/>
      </c>
      <c r="T407" s="403" t="str">
        <f t="shared" si="257"/>
        <v/>
      </c>
      <c r="U407" s="405" t="str">
        <f t="shared" si="244"/>
        <v/>
      </c>
      <c r="V407" s="406" t="str">
        <f t="shared" si="258"/>
        <v/>
      </c>
      <c r="W407" s="404" t="str">
        <f t="shared" si="245"/>
        <v/>
      </c>
      <c r="X407" s="403" t="str">
        <f t="shared" si="259"/>
        <v/>
      </c>
      <c r="Y407" s="405" t="str">
        <f t="shared" si="246"/>
        <v/>
      </c>
      <c r="Z407" s="406" t="str">
        <f t="shared" si="260"/>
        <v/>
      </c>
      <c r="AA407" s="404" t="str">
        <f t="shared" si="247"/>
        <v/>
      </c>
      <c r="AB407" s="403" t="str">
        <f t="shared" si="261"/>
        <v/>
      </c>
      <c r="AC407" s="405" t="str">
        <f t="shared" si="248"/>
        <v/>
      </c>
      <c r="AD407" s="406" t="str">
        <f t="shared" si="249"/>
        <v/>
      </c>
      <c r="AE407" s="404" t="str">
        <f t="shared" si="250"/>
        <v/>
      </c>
      <c r="AF407" s="403" t="str">
        <f t="shared" si="262"/>
        <v/>
      </c>
      <c r="AG407" s="405" t="str">
        <f t="shared" si="251"/>
        <v/>
      </c>
      <c r="AH407" s="406" t="str">
        <f t="shared" si="263"/>
        <v/>
      </c>
      <c r="AI407" s="404" t="str">
        <f t="shared" si="252"/>
        <v/>
      </c>
      <c r="AJ407" s="403" t="str">
        <f t="shared" si="264"/>
        <v/>
      </c>
      <c r="AK407" s="407" t="str">
        <f t="shared" si="253"/>
        <v/>
      </c>
      <c r="AL407" s="408" t="str">
        <f t="shared" si="265"/>
        <v/>
      </c>
      <c r="AM407" s="404" t="str">
        <f t="shared" si="254"/>
        <v/>
      </c>
      <c r="AN407" s="38"/>
    </row>
    <row r="408" spans="1:40" ht="13.5" thickBot="1" x14ac:dyDescent="0.25">
      <c r="A408" s="26"/>
      <c r="B408" s="38"/>
      <c r="C408" s="803"/>
      <c r="D408" s="804"/>
      <c r="E408" s="417"/>
      <c r="F408" s="417"/>
      <c r="G408" s="417"/>
      <c r="H408" s="417"/>
      <c r="I408" s="417"/>
      <c r="J408" s="417"/>
      <c r="K408" s="417"/>
      <c r="L408" s="418"/>
      <c r="M408" s="45"/>
      <c r="N408" s="409" t="str">
        <f t="shared" si="240"/>
        <v/>
      </c>
      <c r="O408" s="410" t="str">
        <f t="shared" si="241"/>
        <v/>
      </c>
      <c r="P408" s="409" t="str">
        <f t="shared" si="255"/>
        <v/>
      </c>
      <c r="Q408" s="411" t="str">
        <f t="shared" si="242"/>
        <v/>
      </c>
      <c r="R408" s="412" t="str">
        <f t="shared" si="256"/>
        <v/>
      </c>
      <c r="S408" s="410" t="str">
        <f t="shared" si="243"/>
        <v/>
      </c>
      <c r="T408" s="409" t="str">
        <f t="shared" si="257"/>
        <v/>
      </c>
      <c r="U408" s="411" t="str">
        <f t="shared" si="244"/>
        <v/>
      </c>
      <c r="V408" s="412" t="str">
        <f t="shared" si="258"/>
        <v/>
      </c>
      <c r="W408" s="410" t="str">
        <f t="shared" si="245"/>
        <v/>
      </c>
      <c r="X408" s="409" t="str">
        <f t="shared" si="259"/>
        <v/>
      </c>
      <c r="Y408" s="411" t="str">
        <f t="shared" si="246"/>
        <v/>
      </c>
      <c r="Z408" s="412" t="str">
        <f t="shared" si="260"/>
        <v/>
      </c>
      <c r="AA408" s="410" t="str">
        <f t="shared" si="247"/>
        <v/>
      </c>
      <c r="AB408" s="409" t="str">
        <f t="shared" si="261"/>
        <v/>
      </c>
      <c r="AC408" s="411" t="str">
        <f t="shared" si="248"/>
        <v/>
      </c>
      <c r="AD408" s="412" t="str">
        <f t="shared" si="249"/>
        <v/>
      </c>
      <c r="AE408" s="410" t="str">
        <f t="shared" si="250"/>
        <v/>
      </c>
      <c r="AF408" s="409" t="str">
        <f t="shared" si="262"/>
        <v/>
      </c>
      <c r="AG408" s="411" t="str">
        <f t="shared" si="251"/>
        <v/>
      </c>
      <c r="AH408" s="412" t="str">
        <f t="shared" si="263"/>
        <v/>
      </c>
      <c r="AI408" s="410" t="str">
        <f t="shared" si="252"/>
        <v/>
      </c>
      <c r="AJ408" s="409" t="str">
        <f t="shared" si="264"/>
        <v/>
      </c>
      <c r="AK408" s="413" t="str">
        <f t="shared" si="253"/>
        <v/>
      </c>
      <c r="AL408" s="414" t="str">
        <f t="shared" si="265"/>
        <v/>
      </c>
      <c r="AM408" s="410" t="str">
        <f t="shared" si="254"/>
        <v/>
      </c>
      <c r="AN408" s="38"/>
    </row>
    <row r="409" spans="1:40" ht="13.5" thickTop="1" x14ac:dyDescent="0.2">
      <c r="A409" s="28"/>
      <c r="B409" s="38"/>
      <c r="C409" s="358"/>
      <c r="D409" s="358"/>
      <c r="E409" s="338"/>
      <c r="F409" s="338"/>
      <c r="G409" s="338"/>
      <c r="H409" s="338"/>
      <c r="I409" s="338"/>
      <c r="J409" s="338"/>
      <c r="K409" s="338"/>
      <c r="L409" s="338"/>
      <c r="M409" s="38"/>
      <c r="N409" s="345"/>
      <c r="O409" s="340"/>
      <c r="P409" s="339"/>
      <c r="Q409" s="340"/>
      <c r="R409" s="339"/>
      <c r="S409" s="340"/>
      <c r="T409" s="339"/>
      <c r="U409" s="340"/>
      <c r="V409" s="339"/>
      <c r="W409" s="340"/>
      <c r="X409" s="339"/>
      <c r="Y409" s="340"/>
      <c r="Z409" s="339"/>
      <c r="AA409" s="340"/>
      <c r="AB409" s="339"/>
      <c r="AC409" s="340"/>
      <c r="AD409" s="339"/>
      <c r="AE409" s="340"/>
      <c r="AF409" s="339"/>
      <c r="AG409" s="340"/>
      <c r="AH409" s="339"/>
      <c r="AI409" s="340"/>
      <c r="AJ409" s="339"/>
      <c r="AK409" s="340"/>
      <c r="AL409" s="339"/>
      <c r="AM409" s="340"/>
      <c r="AN409" s="38"/>
    </row>
    <row r="410" spans="1:40" s="183" customFormat="1" ht="12.75" customHeight="1" x14ac:dyDescent="0.2">
      <c r="A410" s="24"/>
      <c r="B410" s="24"/>
      <c r="C410" s="21"/>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row>
    <row r="411" spans="1:40" s="183" customFormat="1" ht="12.75" customHeight="1" x14ac:dyDescent="0.2">
      <c r="A411" s="24"/>
      <c r="B411" s="24"/>
      <c r="C411" s="21"/>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row>
    <row r="412" spans="1:40" s="183" customFormat="1" ht="12.75" customHeight="1" x14ac:dyDescent="0.2">
      <c r="A412" s="24"/>
      <c r="B412" s="24"/>
      <c r="C412" s="2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s="183" customFormat="1" ht="12.75" customHeight="1" x14ac:dyDescent="0.2">
      <c r="A413" s="24"/>
      <c r="B413" s="24"/>
      <c r="C413" s="2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s="183" customFormat="1" ht="12.75" customHeight="1" x14ac:dyDescent="0.2">
      <c r="A414" s="24"/>
      <c r="B414" s="24"/>
      <c r="C414" s="18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hidden="1" x14ac:dyDescent="0.2">
      <c r="C415" t="str">
        <f>C56</f>
        <v>Category</v>
      </c>
      <c r="D415" t="str">
        <f>D56</f>
        <v>Sub-category or Special Rate name</v>
      </c>
    </row>
    <row r="416" spans="1:40" hidden="1" x14ac:dyDescent="0.2">
      <c r="E416" s="675" t="str">
        <f>E398</f>
        <v>2014/15</v>
      </c>
      <c r="F416" s="675" t="str">
        <f t="shared" ref="F416:L416" si="266">F398</f>
        <v>2015/16</v>
      </c>
      <c r="G416" s="675" t="str">
        <f t="shared" si="266"/>
        <v>2016/17</v>
      </c>
      <c r="H416" s="675" t="str">
        <f t="shared" si="266"/>
        <v>2017/18</v>
      </c>
      <c r="I416" s="675" t="str">
        <f t="shared" si="266"/>
        <v>2018/19</v>
      </c>
      <c r="J416" s="675" t="str">
        <f t="shared" si="266"/>
        <v>2019/20</v>
      </c>
      <c r="K416" s="675" t="str">
        <f t="shared" si="266"/>
        <v>2020/21</v>
      </c>
      <c r="L416" s="675" t="str">
        <f t="shared" si="266"/>
        <v>2021/22</v>
      </c>
    </row>
    <row r="417" spans="3:12" hidden="1" x14ac:dyDescent="0.2">
      <c r="C417" t="str">
        <f t="shared" ref="C417:D437" si="267">C58</f>
        <v>Residential</v>
      </c>
      <c r="D417" t="str">
        <f t="shared" si="267"/>
        <v/>
      </c>
      <c r="G417">
        <f>G58*'WK3 - Notional GI 15-16 YIELD'!$D13</f>
        <v>52573305.602544144</v>
      </c>
      <c r="H417">
        <f>H58*'WK3 - Notional GI 15-16 YIELD'!$D13</f>
        <v>54150504.770620465</v>
      </c>
      <c r="I417">
        <f>I58*'WK3 - Notional GI 15-16 YIELD'!$D13</f>
        <v>55775019.913739078</v>
      </c>
      <c r="J417">
        <f>J58*'WK3 - Notional GI 15-16 YIELD'!$D13</f>
        <v>57448270.511151262</v>
      </c>
      <c r="K417">
        <f>K58*'WK3 - Notional GI 15-16 YIELD'!$D13</f>
        <v>59171718.626485795</v>
      </c>
      <c r="L417">
        <f>L58*'WK3 - Notional GI 15-16 YIELD'!$D13</f>
        <v>60946870.185280375</v>
      </c>
    </row>
    <row r="418" spans="3:12" hidden="1" x14ac:dyDescent="0.2">
      <c r="C418" t="str">
        <f t="shared" si="267"/>
        <v>Residential</v>
      </c>
      <c r="D418" t="str">
        <f t="shared" ref="D418:D436" si="268">D59</f>
        <v>Non Urban</v>
      </c>
      <c r="G418">
        <f>G59*'WK3 - Notional GI 15-16 YIELD'!$D14</f>
        <v>77998.939697599999</v>
      </c>
      <c r="H418">
        <f>H59*'WK3 - Notional GI 15-16 YIELD'!$D14</f>
        <v>80338.907888528003</v>
      </c>
      <c r="I418">
        <f>I59*'WK3 - Notional GI 15-16 YIELD'!$D14</f>
        <v>82749.075125183837</v>
      </c>
      <c r="J418">
        <f>J59*'WK3 - Notional GI 15-16 YIELD'!$D14</f>
        <v>85231.547378939358</v>
      </c>
      <c r="K418">
        <f>K59*'WK3 - Notional GI 15-16 YIELD'!$D14</f>
        <v>87788.493800307537</v>
      </c>
      <c r="L418">
        <f>L59*'WK3 - Notional GI 15-16 YIELD'!$D14</f>
        <v>90422.148614316771</v>
      </c>
    </row>
    <row r="419" spans="3:12" hidden="1" x14ac:dyDescent="0.2">
      <c r="C419" t="str">
        <f t="shared" si="267"/>
        <v>Residential</v>
      </c>
      <c r="D419" t="str">
        <f t="shared" si="268"/>
        <v/>
      </c>
      <c r="G419">
        <f>G60*'WK3 - Notional GI 15-16 YIELD'!$D15</f>
        <v>0</v>
      </c>
      <c r="H419">
        <f>H60*'WK3 - Notional GI 15-16 YIELD'!$D15</f>
        <v>0</v>
      </c>
      <c r="I419">
        <f>I60*'WK3 - Notional GI 15-16 YIELD'!$D15</f>
        <v>0</v>
      </c>
      <c r="J419">
        <f>J60*'WK3 - Notional GI 15-16 YIELD'!$D15</f>
        <v>0</v>
      </c>
      <c r="K419">
        <f>K60*'WK3 - Notional GI 15-16 YIELD'!$D15</f>
        <v>0</v>
      </c>
      <c r="L419">
        <f>L60*'WK3 - Notional GI 15-16 YIELD'!$D15</f>
        <v>0</v>
      </c>
    </row>
    <row r="420" spans="3:12" hidden="1" x14ac:dyDescent="0.2">
      <c r="C420" t="str">
        <f t="shared" si="267"/>
        <v>Residential</v>
      </c>
      <c r="D420" t="str">
        <f t="shared" si="268"/>
        <v/>
      </c>
      <c r="G420">
        <f>G61*'WK3 - Notional GI 15-16 YIELD'!$D16</f>
        <v>0</v>
      </c>
      <c r="H420">
        <f>H61*'WK3 - Notional GI 15-16 YIELD'!$D16</f>
        <v>0</v>
      </c>
      <c r="I420">
        <f>I61*'WK3 - Notional GI 15-16 YIELD'!$D16</f>
        <v>0</v>
      </c>
      <c r="J420">
        <f>J61*'WK3 - Notional GI 15-16 YIELD'!$D16</f>
        <v>0</v>
      </c>
      <c r="K420">
        <f>K61*'WK3 - Notional GI 15-16 YIELD'!$D16</f>
        <v>0</v>
      </c>
      <c r="L420">
        <f>L61*'WK3 - Notional GI 15-16 YIELD'!$D16</f>
        <v>0</v>
      </c>
    </row>
    <row r="421" spans="3:12" hidden="1" x14ac:dyDescent="0.2">
      <c r="C421" t="str">
        <f t="shared" si="267"/>
        <v>Residential</v>
      </c>
      <c r="D421" t="str">
        <f t="shared" si="268"/>
        <v/>
      </c>
      <c r="G421">
        <f>G62*'WK3 - Notional GI 15-16 YIELD'!$D17</f>
        <v>0</v>
      </c>
      <c r="H421">
        <f>H62*'WK3 - Notional GI 15-16 YIELD'!$D17</f>
        <v>0</v>
      </c>
      <c r="I421">
        <f>I62*'WK3 - Notional GI 15-16 YIELD'!$D17</f>
        <v>0</v>
      </c>
      <c r="J421">
        <f>J62*'WK3 - Notional GI 15-16 YIELD'!$D17</f>
        <v>0</v>
      </c>
      <c r="K421">
        <f>K62*'WK3 - Notional GI 15-16 YIELD'!$D17</f>
        <v>0</v>
      </c>
      <c r="L421">
        <f>L62*'WK3 - Notional GI 15-16 YIELD'!$D17</f>
        <v>0</v>
      </c>
    </row>
    <row r="422" spans="3:12" hidden="1" x14ac:dyDescent="0.2">
      <c r="C422" t="str">
        <f t="shared" si="267"/>
        <v>Residential</v>
      </c>
      <c r="D422" t="str">
        <f t="shared" si="268"/>
        <v/>
      </c>
      <c r="G422">
        <f>G63*'WK3 - Notional GI 15-16 YIELD'!$D18</f>
        <v>0</v>
      </c>
      <c r="H422">
        <f>H63*'WK3 - Notional GI 15-16 YIELD'!$D18</f>
        <v>0</v>
      </c>
      <c r="I422">
        <f>I63*'WK3 - Notional GI 15-16 YIELD'!$D18</f>
        <v>0</v>
      </c>
      <c r="J422">
        <f>J63*'WK3 - Notional GI 15-16 YIELD'!$D18</f>
        <v>0</v>
      </c>
      <c r="K422">
        <f>K63*'WK3 - Notional GI 15-16 YIELD'!$D18</f>
        <v>0</v>
      </c>
      <c r="L422">
        <f>L63*'WK3 - Notional GI 15-16 YIELD'!$D18</f>
        <v>0</v>
      </c>
    </row>
    <row r="423" spans="3:12" hidden="1" x14ac:dyDescent="0.2">
      <c r="C423" t="str">
        <f t="shared" si="267"/>
        <v>Residential</v>
      </c>
      <c r="D423" t="str">
        <f t="shared" si="268"/>
        <v/>
      </c>
      <c r="G423">
        <f>G64*'WK3 - Notional GI 15-16 YIELD'!$D19</f>
        <v>0</v>
      </c>
      <c r="H423">
        <f>H64*'WK3 - Notional GI 15-16 YIELD'!$D19</f>
        <v>0</v>
      </c>
      <c r="I423">
        <f>I64*'WK3 - Notional GI 15-16 YIELD'!$D19</f>
        <v>0</v>
      </c>
      <c r="J423">
        <f>J64*'WK3 - Notional GI 15-16 YIELD'!$D19</f>
        <v>0</v>
      </c>
      <c r="K423">
        <f>K64*'WK3 - Notional GI 15-16 YIELD'!$D19</f>
        <v>0</v>
      </c>
      <c r="L423">
        <f>L64*'WK3 - Notional GI 15-16 YIELD'!$D19</f>
        <v>0</v>
      </c>
    </row>
    <row r="424" spans="3:12" hidden="1" x14ac:dyDescent="0.2">
      <c r="C424" t="str">
        <f t="shared" si="267"/>
        <v>Residential</v>
      </c>
      <c r="D424" t="str">
        <f t="shared" si="268"/>
        <v/>
      </c>
      <c r="G424">
        <f>G65*'WK3 - Notional GI 15-16 YIELD'!$D20</f>
        <v>0</v>
      </c>
      <c r="H424">
        <f>H65*'WK3 - Notional GI 15-16 YIELD'!$D20</f>
        <v>0</v>
      </c>
      <c r="I424">
        <f>I65*'WK3 - Notional GI 15-16 YIELD'!$D20</f>
        <v>0</v>
      </c>
      <c r="J424">
        <f>J65*'WK3 - Notional GI 15-16 YIELD'!$D20</f>
        <v>0</v>
      </c>
      <c r="K424">
        <f>K65*'WK3 - Notional GI 15-16 YIELD'!$D20</f>
        <v>0</v>
      </c>
      <c r="L424">
        <f>L65*'WK3 - Notional GI 15-16 YIELD'!$D20</f>
        <v>0</v>
      </c>
    </row>
    <row r="425" spans="3:12" hidden="1" x14ac:dyDescent="0.2">
      <c r="C425" t="str">
        <f t="shared" si="267"/>
        <v>Residential</v>
      </c>
      <c r="D425" t="str">
        <f t="shared" si="268"/>
        <v/>
      </c>
      <c r="G425">
        <f>G66*'WK3 - Notional GI 15-16 YIELD'!$D21</f>
        <v>0</v>
      </c>
      <c r="H425">
        <f>H66*'WK3 - Notional GI 15-16 YIELD'!$D21</f>
        <v>0</v>
      </c>
      <c r="I425">
        <f>I66*'WK3 - Notional GI 15-16 YIELD'!$D21</f>
        <v>0</v>
      </c>
      <c r="J425">
        <f>J66*'WK3 - Notional GI 15-16 YIELD'!$D21</f>
        <v>0</v>
      </c>
      <c r="K425">
        <f>K66*'WK3 - Notional GI 15-16 YIELD'!$D21</f>
        <v>0</v>
      </c>
      <c r="L425">
        <f>L66*'WK3 - Notional GI 15-16 YIELD'!$D21</f>
        <v>0</v>
      </c>
    </row>
    <row r="426" spans="3:12" hidden="1" x14ac:dyDescent="0.2">
      <c r="C426" t="str">
        <f t="shared" si="267"/>
        <v>Residential</v>
      </c>
      <c r="D426" t="str">
        <f t="shared" si="268"/>
        <v/>
      </c>
      <c r="G426">
        <f>G67*'WK3 - Notional GI 15-16 YIELD'!$D22</f>
        <v>0</v>
      </c>
      <c r="H426">
        <f>H67*'WK3 - Notional GI 15-16 YIELD'!$D22</f>
        <v>0</v>
      </c>
      <c r="I426">
        <f>I67*'WK3 - Notional GI 15-16 YIELD'!$D22</f>
        <v>0</v>
      </c>
      <c r="J426">
        <f>J67*'WK3 - Notional GI 15-16 YIELD'!$D22</f>
        <v>0</v>
      </c>
      <c r="K426">
        <f>K67*'WK3 - Notional GI 15-16 YIELD'!$D22</f>
        <v>0</v>
      </c>
      <c r="L426">
        <f>L67*'WK3 - Notional GI 15-16 YIELD'!$D22</f>
        <v>0</v>
      </c>
    </row>
    <row r="427" spans="3:12" hidden="1" x14ac:dyDescent="0.2">
      <c r="C427" t="str">
        <f t="shared" si="267"/>
        <v>Residential</v>
      </c>
      <c r="D427" t="str">
        <f t="shared" si="268"/>
        <v/>
      </c>
      <c r="G427">
        <f>G68*'WK3 - Notional GI 15-16 YIELD'!$D23</f>
        <v>0</v>
      </c>
      <c r="H427">
        <f>H68*'WK3 - Notional GI 15-16 YIELD'!$D23</f>
        <v>0</v>
      </c>
      <c r="I427">
        <f>I68*'WK3 - Notional GI 15-16 YIELD'!$D23</f>
        <v>0</v>
      </c>
      <c r="J427">
        <f>J68*'WK3 - Notional GI 15-16 YIELD'!$D23</f>
        <v>0</v>
      </c>
      <c r="K427">
        <f>K68*'WK3 - Notional GI 15-16 YIELD'!$D23</f>
        <v>0</v>
      </c>
      <c r="L427">
        <f>L68*'WK3 - Notional GI 15-16 YIELD'!$D23</f>
        <v>0</v>
      </c>
    </row>
    <row r="428" spans="3:12" hidden="1" x14ac:dyDescent="0.2">
      <c r="C428" t="str">
        <f t="shared" si="267"/>
        <v>Residential</v>
      </c>
      <c r="D428" t="str">
        <f t="shared" si="268"/>
        <v/>
      </c>
      <c r="G428">
        <f>G69*'WK3 - Notional GI 15-16 YIELD'!$D24</f>
        <v>0</v>
      </c>
      <c r="H428">
        <f>H69*'WK3 - Notional GI 15-16 YIELD'!$D24</f>
        <v>0</v>
      </c>
      <c r="I428">
        <f>I69*'WK3 - Notional GI 15-16 YIELD'!$D24</f>
        <v>0</v>
      </c>
      <c r="J428">
        <f>J69*'WK3 - Notional GI 15-16 YIELD'!$D24</f>
        <v>0</v>
      </c>
      <c r="K428">
        <f>K69*'WK3 - Notional GI 15-16 YIELD'!$D24</f>
        <v>0</v>
      </c>
      <c r="L428">
        <f>L69*'WK3 - Notional GI 15-16 YIELD'!$D24</f>
        <v>0</v>
      </c>
    </row>
    <row r="429" spans="3:12" hidden="1" x14ac:dyDescent="0.2">
      <c r="C429" t="str">
        <f t="shared" si="267"/>
        <v>Residential</v>
      </c>
      <c r="D429" t="str">
        <f t="shared" si="268"/>
        <v/>
      </c>
      <c r="G429">
        <f>G70*'WK3 - Notional GI 15-16 YIELD'!$D25</f>
        <v>0</v>
      </c>
      <c r="H429">
        <f>H70*'WK3 - Notional GI 15-16 YIELD'!$D25</f>
        <v>0</v>
      </c>
      <c r="I429">
        <f>I70*'WK3 - Notional GI 15-16 YIELD'!$D25</f>
        <v>0</v>
      </c>
      <c r="J429">
        <f>J70*'WK3 - Notional GI 15-16 YIELD'!$D25</f>
        <v>0</v>
      </c>
      <c r="K429">
        <f>K70*'WK3 - Notional GI 15-16 YIELD'!$D25</f>
        <v>0</v>
      </c>
      <c r="L429">
        <f>L70*'WK3 - Notional GI 15-16 YIELD'!$D25</f>
        <v>0</v>
      </c>
    </row>
    <row r="430" spans="3:12" hidden="1" x14ac:dyDescent="0.2">
      <c r="C430" t="str">
        <f t="shared" si="267"/>
        <v>Residential</v>
      </c>
      <c r="D430" t="str">
        <f t="shared" si="268"/>
        <v/>
      </c>
      <c r="G430">
        <f>G71*'WK3 - Notional GI 15-16 YIELD'!$D26</f>
        <v>0</v>
      </c>
      <c r="H430">
        <f>H71*'WK3 - Notional GI 15-16 YIELD'!$D26</f>
        <v>0</v>
      </c>
      <c r="I430">
        <f>I71*'WK3 - Notional GI 15-16 YIELD'!$D26</f>
        <v>0</v>
      </c>
      <c r="J430">
        <f>J71*'WK3 - Notional GI 15-16 YIELD'!$D26</f>
        <v>0</v>
      </c>
      <c r="K430">
        <f>K71*'WK3 - Notional GI 15-16 YIELD'!$D26</f>
        <v>0</v>
      </c>
      <c r="L430">
        <f>L71*'WK3 - Notional GI 15-16 YIELD'!$D26</f>
        <v>0</v>
      </c>
    </row>
    <row r="431" spans="3:12" hidden="1" x14ac:dyDescent="0.2">
      <c r="C431" t="str">
        <f t="shared" si="267"/>
        <v>Residential</v>
      </c>
      <c r="D431" t="str">
        <f t="shared" si="268"/>
        <v/>
      </c>
      <c r="G431">
        <f>G72*'WK3 - Notional GI 15-16 YIELD'!$D27</f>
        <v>0</v>
      </c>
      <c r="H431">
        <f>H72*'WK3 - Notional GI 15-16 YIELD'!$D27</f>
        <v>0</v>
      </c>
      <c r="I431">
        <f>I72*'WK3 - Notional GI 15-16 YIELD'!$D27</f>
        <v>0</v>
      </c>
      <c r="J431">
        <f>J72*'WK3 - Notional GI 15-16 YIELD'!$D27</f>
        <v>0</v>
      </c>
      <c r="K431">
        <f>K72*'WK3 - Notional GI 15-16 YIELD'!$D27</f>
        <v>0</v>
      </c>
      <c r="L431">
        <f>L72*'WK3 - Notional GI 15-16 YIELD'!$D27</f>
        <v>0</v>
      </c>
    </row>
    <row r="432" spans="3:12" hidden="1" x14ac:dyDescent="0.2">
      <c r="C432" t="str">
        <f t="shared" si="267"/>
        <v>Residential</v>
      </c>
      <c r="D432" t="str">
        <f t="shared" si="268"/>
        <v/>
      </c>
      <c r="G432">
        <f>G73*'WK3 - Notional GI 15-16 YIELD'!$D28</f>
        <v>0</v>
      </c>
      <c r="H432">
        <f>H73*'WK3 - Notional GI 15-16 YIELD'!$D28</f>
        <v>0</v>
      </c>
      <c r="I432">
        <f>I73*'WK3 - Notional GI 15-16 YIELD'!$D28</f>
        <v>0</v>
      </c>
      <c r="J432">
        <f>J73*'WK3 - Notional GI 15-16 YIELD'!$D28</f>
        <v>0</v>
      </c>
      <c r="K432">
        <f>K73*'WK3 - Notional GI 15-16 YIELD'!$D28</f>
        <v>0</v>
      </c>
      <c r="L432">
        <f>L73*'WK3 - Notional GI 15-16 YIELD'!$D28</f>
        <v>0</v>
      </c>
    </row>
    <row r="433" spans="3:12" hidden="1" x14ac:dyDescent="0.2">
      <c r="C433" t="str">
        <f t="shared" si="267"/>
        <v>Residential</v>
      </c>
      <c r="D433" t="str">
        <f t="shared" si="268"/>
        <v/>
      </c>
      <c r="G433">
        <f>G74*'WK3 - Notional GI 15-16 YIELD'!$D29</f>
        <v>0</v>
      </c>
      <c r="H433">
        <f>H74*'WK3 - Notional GI 15-16 YIELD'!$D29</f>
        <v>0</v>
      </c>
      <c r="I433">
        <f>I74*'WK3 - Notional GI 15-16 YIELD'!$D29</f>
        <v>0</v>
      </c>
      <c r="J433">
        <f>J74*'WK3 - Notional GI 15-16 YIELD'!$D29</f>
        <v>0</v>
      </c>
      <c r="K433">
        <f>K74*'WK3 - Notional GI 15-16 YIELD'!$D29</f>
        <v>0</v>
      </c>
      <c r="L433">
        <f>L74*'WK3 - Notional GI 15-16 YIELD'!$D29</f>
        <v>0</v>
      </c>
    </row>
    <row r="434" spans="3:12" hidden="1" x14ac:dyDescent="0.2">
      <c r="C434" t="str">
        <f t="shared" si="267"/>
        <v>Residential</v>
      </c>
      <c r="D434" t="str">
        <f t="shared" si="268"/>
        <v/>
      </c>
      <c r="G434">
        <f>G75*'WK3 - Notional GI 15-16 YIELD'!$D30</f>
        <v>0</v>
      </c>
      <c r="H434">
        <f>H75*'WK3 - Notional GI 15-16 YIELD'!$D30</f>
        <v>0</v>
      </c>
      <c r="I434">
        <f>I75*'WK3 - Notional GI 15-16 YIELD'!$D30</f>
        <v>0</v>
      </c>
      <c r="J434">
        <f>J75*'WK3 - Notional GI 15-16 YIELD'!$D30</f>
        <v>0</v>
      </c>
      <c r="K434">
        <f>K75*'WK3 - Notional GI 15-16 YIELD'!$D30</f>
        <v>0</v>
      </c>
      <c r="L434">
        <f>L75*'WK3 - Notional GI 15-16 YIELD'!$D30</f>
        <v>0</v>
      </c>
    </row>
    <row r="435" spans="3:12" hidden="1" x14ac:dyDescent="0.2">
      <c r="C435" t="str">
        <f t="shared" si="267"/>
        <v>Residential</v>
      </c>
      <c r="D435" t="str">
        <f t="shared" si="268"/>
        <v/>
      </c>
      <c r="G435">
        <f>G76*'WK3 - Notional GI 15-16 YIELD'!$D31</f>
        <v>0</v>
      </c>
      <c r="H435">
        <f>H76*'WK3 - Notional GI 15-16 YIELD'!$D31</f>
        <v>0</v>
      </c>
      <c r="I435">
        <f>I76*'WK3 - Notional GI 15-16 YIELD'!$D31</f>
        <v>0</v>
      </c>
      <c r="J435">
        <f>J76*'WK3 - Notional GI 15-16 YIELD'!$D31</f>
        <v>0</v>
      </c>
      <c r="K435">
        <f>K76*'WK3 - Notional GI 15-16 YIELD'!$D31</f>
        <v>0</v>
      </c>
      <c r="L435">
        <f>L76*'WK3 - Notional GI 15-16 YIELD'!$D31</f>
        <v>0</v>
      </c>
    </row>
    <row r="436" spans="3:12" hidden="1" x14ac:dyDescent="0.2">
      <c r="C436" t="str">
        <f t="shared" si="267"/>
        <v>Residential</v>
      </c>
      <c r="D436" t="str">
        <f t="shared" si="268"/>
        <v/>
      </c>
      <c r="G436">
        <f>G77*'WK3 - Notional GI 15-16 YIELD'!$D32</f>
        <v>0</v>
      </c>
      <c r="H436">
        <f>H77*'WK3 - Notional GI 15-16 YIELD'!$D32</f>
        <v>0</v>
      </c>
      <c r="I436">
        <f>I77*'WK3 - Notional GI 15-16 YIELD'!$D32</f>
        <v>0</v>
      </c>
      <c r="J436">
        <f>J77*'WK3 - Notional GI 15-16 YIELD'!$D32</f>
        <v>0</v>
      </c>
      <c r="K436">
        <f>K77*'WK3 - Notional GI 15-16 YIELD'!$D32</f>
        <v>0</v>
      </c>
      <c r="L436">
        <f>L77*'WK3 - Notional GI 15-16 YIELD'!$D32</f>
        <v>0</v>
      </c>
    </row>
    <row r="437" spans="3:12" hidden="1" x14ac:dyDescent="0.2">
      <c r="C437" t="str">
        <f t="shared" si="267"/>
        <v>Special rate</v>
      </c>
      <c r="D437" t="str">
        <f t="shared" si="267"/>
        <v>Jerberra Rezoning Special Rate</v>
      </c>
      <c r="G437">
        <f>G78*'WK3 - Notional GI 15-16 YIELD'!$D91</f>
        <v>42818.979758899201</v>
      </c>
      <c r="H437">
        <f>H78*'WK3 - Notional GI 15-16 YIELD'!$D91</f>
        <v>44103.549151666179</v>
      </c>
      <c r="I437">
        <f>I78*'WK3 - Notional GI 15-16 YIELD'!$D91</f>
        <v>45426.655626216168</v>
      </c>
      <c r="J437">
        <f>J78*'WK3 - Notional GI 15-16 YIELD'!$D91</f>
        <v>46789.455295002655</v>
      </c>
      <c r="K437">
        <f>K78*'WK3 - Notional GI 15-16 YIELD'!$D91</f>
        <v>48193.138953852736</v>
      </c>
      <c r="L437">
        <f>L78*'WK3 - Notional GI 15-16 YIELD'!$D91</f>
        <v>49638.933122468319</v>
      </c>
    </row>
    <row r="438" spans="3:12" hidden="1" x14ac:dyDescent="0.2">
      <c r="C438" t="str">
        <f t="shared" ref="C438:C443" si="269">C80</f>
        <v>Special rate</v>
      </c>
      <c r="D438" t="str">
        <f t="shared" ref="D438:D446" si="270">D79</f>
        <v>Jerberra Road Design Special Rate</v>
      </c>
      <c r="G438">
        <f>G79*'WK3 - Notional GI 15-16 YIELD'!$D92</f>
        <v>22703.311929139196</v>
      </c>
      <c r="H438">
        <f>H79*'WK3 - Notional GI 15-16 YIELD'!$D92</f>
        <v>23384.411287013372</v>
      </c>
      <c r="I438">
        <f>I79*'WK3 - Notional GI 15-16 YIELD'!$D92</f>
        <v>24085.943625623771</v>
      </c>
      <c r="J438">
        <f>J79*'WK3 - Notional GI 15-16 YIELD'!$D92</f>
        <v>24808.521934392487</v>
      </c>
      <c r="K438">
        <f>K79*'WK3 - Notional GI 15-16 YIELD'!$D92</f>
        <v>25552.777592424263</v>
      </c>
      <c r="L438">
        <f>L79*'WK3 - Notional GI 15-16 YIELD'!$D92</f>
        <v>26319.360920196992</v>
      </c>
    </row>
    <row r="439" spans="3:12" hidden="1" x14ac:dyDescent="0.2">
      <c r="C439" t="str">
        <f t="shared" si="269"/>
        <v>Special rate</v>
      </c>
      <c r="D439" t="str">
        <f t="shared" si="270"/>
        <v>Jerberra Road Construction Special Rate</v>
      </c>
      <c r="G439">
        <f>G80*'WK3 - Notional GI 15-16 YIELD'!$D93</f>
        <v>36957.119403417601</v>
      </c>
      <c r="H439">
        <f>H80*'WK3 - Notional GI 15-16 YIELD'!$D93</f>
        <v>38065.832985520123</v>
      </c>
      <c r="I439">
        <f>I80*'WK3 - Notional GI 15-16 YIELD'!$D93</f>
        <v>39207.807975085729</v>
      </c>
      <c r="J439">
        <f>J80*'WK3 - Notional GI 15-16 YIELD'!$D93</f>
        <v>40384.042214338304</v>
      </c>
      <c r="K439">
        <f>K80*'WK3 - Notional GI 15-16 YIELD'!$D93</f>
        <v>41595.563480768455</v>
      </c>
      <c r="L439">
        <f>L80*'WK3 - Notional GI 15-16 YIELD'!$D93</f>
        <v>42843.43038519151</v>
      </c>
    </row>
    <row r="440" spans="3:12" hidden="1" x14ac:dyDescent="0.2">
      <c r="C440" t="str">
        <f t="shared" si="269"/>
        <v>Special rate</v>
      </c>
      <c r="D440" t="str">
        <f t="shared" si="270"/>
        <v>Verons Rezoning Special Rate</v>
      </c>
      <c r="G440">
        <f>G81*'WK3 - Notional GI 15-16 YIELD'!$D94</f>
        <v>12730.554777600002</v>
      </c>
      <c r="H440">
        <f>H81*'WK3 - Notional GI 15-16 YIELD'!$D94</f>
        <v>13112.471420928003</v>
      </c>
      <c r="I440">
        <f>I81*'WK3 - Notional GI 15-16 YIELD'!$D94</f>
        <v>13505.845563555842</v>
      </c>
      <c r="J440">
        <f>J81*'WK3 - Notional GI 15-16 YIELD'!$D94</f>
        <v>13911.020930462519</v>
      </c>
      <c r="K440">
        <f>K81*'WK3 - Notional GI 15-16 YIELD'!$D94</f>
        <v>14328.351558376395</v>
      </c>
      <c r="L440">
        <f>L81*'WK3 - Notional GI 15-16 YIELD'!$D94</f>
        <v>14758.202105127686</v>
      </c>
    </row>
    <row r="441" spans="3:12" hidden="1" x14ac:dyDescent="0.2">
      <c r="C441" t="str">
        <f t="shared" si="269"/>
        <v>Special rate</v>
      </c>
      <c r="D441" t="str">
        <f t="shared" si="270"/>
        <v>Verons Road Design Special Rate</v>
      </c>
      <c r="G441">
        <f>G82*'WK3 - Notional GI 15-16 YIELD'!$D95</f>
        <v>4862.997503999999</v>
      </c>
      <c r="H441">
        <f>H82*'WK3 - Notional GI 15-16 YIELD'!$D95</f>
        <v>5008.88742912</v>
      </c>
      <c r="I441">
        <f>I82*'WK3 - Notional GI 15-16 YIELD'!$D95</f>
        <v>5159.1540519935998</v>
      </c>
      <c r="J441">
        <f>J82*'WK3 - Notional GI 15-16 YIELD'!$D95</f>
        <v>5313.9286735534088</v>
      </c>
      <c r="K441">
        <f>K82*'WK3 - Notional GI 15-16 YIELD'!$D95</f>
        <v>5473.346533760011</v>
      </c>
      <c r="L441">
        <f>L82*'WK3 - Notional GI 15-16 YIELD'!$D95</f>
        <v>5637.5469297728114</v>
      </c>
    </row>
    <row r="442" spans="3:12" hidden="1" x14ac:dyDescent="0.2">
      <c r="C442" t="str">
        <f t="shared" si="269"/>
        <v>Special rate</v>
      </c>
      <c r="D442" t="str">
        <f t="shared" si="270"/>
        <v>Verons Road Construction Special Rate</v>
      </c>
      <c r="G442">
        <f>G83*'WK3 - Notional GI 15-16 YIELD'!$D96</f>
        <v>14686.954905600001</v>
      </c>
      <c r="H442">
        <f>H83*'WK3 - Notional GI 15-16 YIELD'!$D96</f>
        <v>15127.563552768002</v>
      </c>
      <c r="I442">
        <f>I83*'WK3 - Notional GI 15-16 YIELD'!$D96</f>
        <v>15581.390459351041</v>
      </c>
      <c r="J442">
        <f>J83*'WK3 - Notional GI 15-16 YIELD'!$D96</f>
        <v>16048.832173131574</v>
      </c>
      <c r="K442">
        <f>K83*'WK3 - Notional GI 15-16 YIELD'!$D96</f>
        <v>16530.297138325521</v>
      </c>
      <c r="L442">
        <f>L83*'WK3 - Notional GI 15-16 YIELD'!$D96</f>
        <v>17026.206052475289</v>
      </c>
    </row>
    <row r="443" spans="3:12" hidden="1" x14ac:dyDescent="0.2">
      <c r="C443" t="str">
        <f t="shared" si="269"/>
        <v>Special rate</v>
      </c>
      <c r="D443" t="str">
        <f t="shared" si="270"/>
        <v>Nebraska Rezoning Special Rate</v>
      </c>
      <c r="G443">
        <f>G84*'WK3 - Notional GI 15-16 YIELD'!$D97</f>
        <v>14287.072583679997</v>
      </c>
      <c r="H443">
        <f>H84*'WK3 - Notional GI 15-16 YIELD'!$D97</f>
        <v>14715.684761190398</v>
      </c>
      <c r="I443">
        <f>I84*'WK3 - Notional GI 15-16 YIELD'!$D97</f>
        <v>15157.155304026108</v>
      </c>
      <c r="J443">
        <f>J84*'WK3 - Notional GI 15-16 YIELD'!$D97</f>
        <v>15611.869963146893</v>
      </c>
      <c r="K443">
        <f>K84*'WK3 - Notional GI 15-16 YIELD'!$D97</f>
        <v>16080.2260620413</v>
      </c>
      <c r="L443">
        <f>L84*'WK3 - Notional GI 15-16 YIELD'!$D97</f>
        <v>16562.632843902538</v>
      </c>
    </row>
    <row r="444" spans="3:12" hidden="1" x14ac:dyDescent="0.2">
      <c r="C444" t="str">
        <f>C79</f>
        <v>Special rate</v>
      </c>
      <c r="D444" t="str">
        <f t="shared" si="270"/>
        <v>Nebraska Road Design Special Rate</v>
      </c>
      <c r="G444">
        <f>G85*'WK3 - Notional GI 15-16 YIELD'!$D98</f>
        <v>3567.9785369599999</v>
      </c>
      <c r="H444">
        <f>H85*'WK3 - Notional GI 15-16 YIELD'!$D98</f>
        <v>3675.0178930688003</v>
      </c>
      <c r="I444">
        <f>I85*'WK3 - Notional GI 15-16 YIELD'!$D98</f>
        <v>3785.2684298608642</v>
      </c>
      <c r="J444">
        <f>J85*'WK3 - Notional GI 15-16 YIELD'!$D98</f>
        <v>3898.82648275669</v>
      </c>
      <c r="K444">
        <f>K85*'WK3 - Notional GI 15-16 YIELD'!$D98</f>
        <v>4015.7912772393906</v>
      </c>
      <c r="L444">
        <f>L85*'WK3 - Notional GI 15-16 YIELD'!$D98</f>
        <v>4136.2650155565725</v>
      </c>
    </row>
    <row r="445" spans="3:12" hidden="1" x14ac:dyDescent="0.2">
      <c r="C445" t="str">
        <f>C80</f>
        <v>Special rate</v>
      </c>
      <c r="D445" t="str">
        <f t="shared" si="270"/>
        <v>Nebraska Road Construction Special Rate</v>
      </c>
      <c r="G445">
        <f>G86*'WK3 - Notional GI 15-16 YIELD'!$D99</f>
        <v>6103.3566617600009</v>
      </c>
      <c r="H445">
        <f>H86*'WK3 - Notional GI 15-16 YIELD'!$D99</f>
        <v>6286.4573616128009</v>
      </c>
      <c r="I445">
        <f>I86*'WK3 - Notional GI 15-16 YIELD'!$D99</f>
        <v>6475.0510824611847</v>
      </c>
      <c r="J445">
        <f>J86*'WK3 - Notional GI 15-16 YIELD'!$D99</f>
        <v>6669.3026149350208</v>
      </c>
      <c r="K445">
        <f>K86*'WK3 - Notional GI 15-16 YIELD'!$D99</f>
        <v>6869.3816933830722</v>
      </c>
      <c r="L445">
        <f>L86*'WK3 - Notional GI 15-16 YIELD'!$D99</f>
        <v>7075.463144184565</v>
      </c>
    </row>
    <row r="446" spans="3:12" hidden="1" x14ac:dyDescent="0.2">
      <c r="C446" t="str">
        <f>C87</f>
        <v>Special rate</v>
      </c>
      <c r="D446" t="str">
        <f t="shared" si="270"/>
        <v>Jerberra Road Infrastructure</v>
      </c>
      <c r="G446">
        <f>G87*'WK3 - Notional GI 15-16 YIELD'!$D100</f>
        <v>632650.28513400012</v>
      </c>
      <c r="H446">
        <f>H87*'WK3 - Notional GI 15-16 YIELD'!$D100</f>
        <v>651629.79368802009</v>
      </c>
      <c r="I446">
        <f>I87*'WK3 - Notional GI 15-16 YIELD'!$D100</f>
        <v>671178.68749866076</v>
      </c>
      <c r="J446">
        <f>J87*'WK3 - Notional GI 15-16 YIELD'!$D100</f>
        <v>691314.04812362057</v>
      </c>
      <c r="K446">
        <f>K87*'WK3 - Notional GI 15-16 YIELD'!$D100</f>
        <v>712053.46956732927</v>
      </c>
      <c r="L446">
        <f>L87*'WK3 - Notional GI 15-16 YIELD'!$D100</f>
        <v>733415.07365434919</v>
      </c>
    </row>
    <row r="447" spans="3:12" s="165" customFormat="1" hidden="1" x14ac:dyDescent="0.2">
      <c r="D447" s="165" t="s">
        <v>653</v>
      </c>
      <c r="G447" s="165">
        <f t="shared" ref="G447:L447" si="271">SUM(G417:G446)</f>
        <v>53442673.153436802</v>
      </c>
      <c r="H447" s="165">
        <f t="shared" si="271"/>
        <v>55045953.348039903</v>
      </c>
      <c r="I447" s="165">
        <f t="shared" si="271"/>
        <v>56697331.94848109</v>
      </c>
      <c r="J447" s="165">
        <f t="shared" si="271"/>
        <v>58398251.906935543</v>
      </c>
      <c r="K447" s="165">
        <f t="shared" si="271"/>
        <v>60150199.464143604</v>
      </c>
      <c r="L447" s="165">
        <f t="shared" si="271"/>
        <v>61954705.448067918</v>
      </c>
    </row>
    <row r="448" spans="3:12" hidden="1" x14ac:dyDescent="0.2">
      <c r="C448" t="str">
        <f t="shared" ref="C448:D467" si="272">C89</f>
        <v>Business</v>
      </c>
      <c r="D448" t="str">
        <f t="shared" si="272"/>
        <v/>
      </c>
      <c r="G448">
        <f>G89*'WK3 - Notional GI 15-16 YIELD'!$D34</f>
        <v>6694.7459484400006</v>
      </c>
      <c r="H448">
        <f>H89*'WK3 - Notional GI 15-16 YIELD'!$D34</f>
        <v>6895.5883268932002</v>
      </c>
      <c r="I448">
        <f>I89*'WK3 - Notional GI 15-16 YIELD'!$D34</f>
        <v>7102.4559766999964</v>
      </c>
      <c r="J448">
        <f>J89*'WK3 - Notional GI 15-16 YIELD'!$D34</f>
        <v>7315.5296560009974</v>
      </c>
      <c r="K448">
        <f>K89*'WK3 - Notional GI 15-16 YIELD'!$D34</f>
        <v>7534.9955456810276</v>
      </c>
      <c r="L448">
        <f>L89*'WK3 - Notional GI 15-16 YIELD'!$D34</f>
        <v>7761.0454120514596</v>
      </c>
    </row>
    <row r="449" spans="3:12" hidden="1" x14ac:dyDescent="0.2">
      <c r="C449" t="str">
        <f t="shared" si="272"/>
        <v>Business</v>
      </c>
      <c r="D449" t="str">
        <f t="shared" ref="D449:D467" si="273">D90</f>
        <v>Commercial/Industrial</v>
      </c>
      <c r="G449">
        <f>G90*'WK3 - Notional GI 15-16 YIELD'!$D35</f>
        <v>2746896.8051583646</v>
      </c>
      <c r="H449">
        <f>H90*'WK3 - Notional GI 15-16 YIELD'!$D35</f>
        <v>2829303.7093131156</v>
      </c>
      <c r="I449">
        <f>I90*'WK3 - Notional GI 15-16 YIELD'!$D35</f>
        <v>2914182.8205925091</v>
      </c>
      <c r="J449">
        <f>J90*'WK3 - Notional GI 15-16 YIELD'!$D35</f>
        <v>3001608.3052102844</v>
      </c>
      <c r="K449">
        <f>K90*'WK3 - Notional GI 15-16 YIELD'!$D35</f>
        <v>3091656.5543665932</v>
      </c>
      <c r="L449">
        <f>L90*'WK3 - Notional GI 15-16 YIELD'!$D35</f>
        <v>3184406.2509975908</v>
      </c>
    </row>
    <row r="450" spans="3:12" hidden="1" x14ac:dyDescent="0.2">
      <c r="C450" t="str">
        <f t="shared" si="272"/>
        <v>Business</v>
      </c>
      <c r="D450" t="str">
        <f t="shared" si="273"/>
        <v>Nowra</v>
      </c>
      <c r="G450">
        <f>G91*'WK3 - Notional GI 15-16 YIELD'!$D36</f>
        <v>1878278.3147819999</v>
      </c>
      <c r="H450">
        <f>H91*'WK3 - Notional GI 15-16 YIELD'!$D36</f>
        <v>1934626.6642254598</v>
      </c>
      <c r="I450">
        <f>I91*'WK3 - Notional GI 15-16 YIELD'!$D36</f>
        <v>1992665.4641522237</v>
      </c>
      <c r="J450">
        <f>J91*'WK3 - Notional GI 15-16 YIELD'!$D36</f>
        <v>2052445.4280767904</v>
      </c>
      <c r="K450">
        <f>K91*'WK3 - Notional GI 15-16 YIELD'!$D36</f>
        <v>2114018.7909190943</v>
      </c>
      <c r="L450">
        <f>L91*'WK3 - Notional GI 15-16 YIELD'!$D36</f>
        <v>2177439.3546466669</v>
      </c>
    </row>
    <row r="451" spans="3:12" hidden="1" x14ac:dyDescent="0.2">
      <c r="C451" t="str">
        <f t="shared" si="272"/>
        <v>Business</v>
      </c>
      <c r="D451" t="str">
        <f t="shared" si="273"/>
        <v>Ulladulla</v>
      </c>
      <c r="G451">
        <f>G92*'WK3 - Notional GI 15-16 YIELD'!$D37</f>
        <v>403712.90299249999</v>
      </c>
      <c r="H451">
        <f>H92*'WK3 - Notional GI 15-16 YIELD'!$D37</f>
        <v>415824.29008227499</v>
      </c>
      <c r="I451">
        <f>I92*'WK3 - Notional GI 15-16 YIELD'!$D37</f>
        <v>428299.01878474327</v>
      </c>
      <c r="J451">
        <f>J92*'WK3 - Notional GI 15-16 YIELD'!$D37</f>
        <v>441147.9893482856</v>
      </c>
      <c r="K451">
        <f>K92*'WK3 - Notional GI 15-16 YIELD'!$D37</f>
        <v>454382.42902873416</v>
      </c>
      <c r="L451">
        <f>L92*'WK3 - Notional GI 15-16 YIELD'!$D37</f>
        <v>468013.90189959621</v>
      </c>
    </row>
    <row r="452" spans="3:12" hidden="1" x14ac:dyDescent="0.2">
      <c r="C452" t="str">
        <f t="shared" si="272"/>
        <v>Business</v>
      </c>
      <c r="D452" t="str">
        <f t="shared" si="273"/>
        <v>Sussex Area Special</v>
      </c>
      <c r="G452">
        <f>G93*'WK3 - Notional GI 15-16 YIELD'!$D38</f>
        <v>12222.339782089999</v>
      </c>
      <c r="H452">
        <f>H93*'WK3 - Notional GI 15-16 YIELD'!$D38</f>
        <v>12589.009975552699</v>
      </c>
      <c r="I452">
        <f>I93*'WK3 - Notional GI 15-16 YIELD'!$D38</f>
        <v>12966.680274819282</v>
      </c>
      <c r="J452">
        <f>J93*'WK3 - Notional GI 15-16 YIELD'!$D38</f>
        <v>13355.68068306386</v>
      </c>
      <c r="K452">
        <f>K93*'WK3 - Notional GI 15-16 YIELD'!$D38</f>
        <v>13756.351103555775</v>
      </c>
      <c r="L452">
        <f>L93*'WK3 - Notional GI 15-16 YIELD'!$D38</f>
        <v>14169.041636662449</v>
      </c>
    </row>
    <row r="453" spans="3:12" hidden="1" x14ac:dyDescent="0.2">
      <c r="C453" t="str">
        <f t="shared" si="272"/>
        <v>Business</v>
      </c>
      <c r="D453" t="str">
        <f t="shared" si="273"/>
        <v/>
      </c>
      <c r="G453">
        <f>G94*'WK3 - Notional GI 15-16 YIELD'!$D39</f>
        <v>0</v>
      </c>
      <c r="H453">
        <f>H94*'WK3 - Notional GI 15-16 YIELD'!$D39</f>
        <v>0</v>
      </c>
      <c r="I453">
        <f>I94*'WK3 - Notional GI 15-16 YIELD'!$D39</f>
        <v>0</v>
      </c>
      <c r="J453">
        <f>J94*'WK3 - Notional GI 15-16 YIELD'!$D39</f>
        <v>0</v>
      </c>
      <c r="K453">
        <f>K94*'WK3 - Notional GI 15-16 YIELD'!$D39</f>
        <v>0</v>
      </c>
      <c r="L453">
        <f>L94*'WK3 - Notional GI 15-16 YIELD'!$D39</f>
        <v>0</v>
      </c>
    </row>
    <row r="454" spans="3:12" hidden="1" x14ac:dyDescent="0.2">
      <c r="C454" t="str">
        <f t="shared" si="272"/>
        <v>Business</v>
      </c>
      <c r="D454" t="str">
        <f t="shared" si="273"/>
        <v/>
      </c>
      <c r="G454">
        <f>G95*'WK3 - Notional GI 15-16 YIELD'!$D40</f>
        <v>0</v>
      </c>
      <c r="H454">
        <f>H95*'WK3 - Notional GI 15-16 YIELD'!$D40</f>
        <v>0</v>
      </c>
      <c r="I454">
        <f>I95*'WK3 - Notional GI 15-16 YIELD'!$D40</f>
        <v>0</v>
      </c>
      <c r="J454">
        <f>J95*'WK3 - Notional GI 15-16 YIELD'!$D40</f>
        <v>0</v>
      </c>
      <c r="K454">
        <f>K95*'WK3 - Notional GI 15-16 YIELD'!$D40</f>
        <v>0</v>
      </c>
      <c r="L454">
        <f>L95*'WK3 - Notional GI 15-16 YIELD'!$D40</f>
        <v>0</v>
      </c>
    </row>
    <row r="455" spans="3:12" hidden="1" x14ac:dyDescent="0.2">
      <c r="C455" t="str">
        <f t="shared" si="272"/>
        <v>Business</v>
      </c>
      <c r="D455" t="str">
        <f t="shared" si="273"/>
        <v/>
      </c>
      <c r="G455">
        <f>G96*'WK3 - Notional GI 15-16 YIELD'!$D41</f>
        <v>0</v>
      </c>
      <c r="H455">
        <f>H96*'WK3 - Notional GI 15-16 YIELD'!$D41</f>
        <v>0</v>
      </c>
      <c r="I455">
        <f>I96*'WK3 - Notional GI 15-16 YIELD'!$D41</f>
        <v>0</v>
      </c>
      <c r="J455">
        <f>J96*'WK3 - Notional GI 15-16 YIELD'!$D41</f>
        <v>0</v>
      </c>
      <c r="K455">
        <f>K96*'WK3 - Notional GI 15-16 YIELD'!$D41</f>
        <v>0</v>
      </c>
      <c r="L455">
        <f>L96*'WK3 - Notional GI 15-16 YIELD'!$D41</f>
        <v>0</v>
      </c>
    </row>
    <row r="456" spans="3:12" hidden="1" x14ac:dyDescent="0.2">
      <c r="C456" t="str">
        <f t="shared" si="272"/>
        <v>Business</v>
      </c>
      <c r="D456" t="str">
        <f t="shared" si="273"/>
        <v/>
      </c>
      <c r="G456">
        <f>G97*'WK3 - Notional GI 15-16 YIELD'!$D42</f>
        <v>0</v>
      </c>
      <c r="H456">
        <f>H97*'WK3 - Notional GI 15-16 YIELD'!$D42</f>
        <v>0</v>
      </c>
      <c r="I456">
        <f>I97*'WK3 - Notional GI 15-16 YIELD'!$D42</f>
        <v>0</v>
      </c>
      <c r="J456">
        <f>J97*'WK3 - Notional GI 15-16 YIELD'!$D42</f>
        <v>0</v>
      </c>
      <c r="K456">
        <f>K97*'WK3 - Notional GI 15-16 YIELD'!$D42</f>
        <v>0</v>
      </c>
      <c r="L456">
        <f>L97*'WK3 - Notional GI 15-16 YIELD'!$D42</f>
        <v>0</v>
      </c>
    </row>
    <row r="457" spans="3:12" hidden="1" x14ac:dyDescent="0.2">
      <c r="C457" t="str">
        <f t="shared" si="272"/>
        <v>Business</v>
      </c>
      <c r="D457" t="str">
        <f t="shared" si="273"/>
        <v/>
      </c>
      <c r="G457">
        <f>G98*'WK3 - Notional GI 15-16 YIELD'!$D43</f>
        <v>0</v>
      </c>
      <c r="H457">
        <f>H98*'WK3 - Notional GI 15-16 YIELD'!$D43</f>
        <v>0</v>
      </c>
      <c r="I457">
        <f>I98*'WK3 - Notional GI 15-16 YIELD'!$D43</f>
        <v>0</v>
      </c>
      <c r="J457">
        <f>J98*'WK3 - Notional GI 15-16 YIELD'!$D43</f>
        <v>0</v>
      </c>
      <c r="K457">
        <f>K98*'WK3 - Notional GI 15-16 YIELD'!$D43</f>
        <v>0</v>
      </c>
      <c r="L457">
        <f>L98*'WK3 - Notional GI 15-16 YIELD'!$D43</f>
        <v>0</v>
      </c>
    </row>
    <row r="458" spans="3:12" hidden="1" x14ac:dyDescent="0.2">
      <c r="C458" t="str">
        <f t="shared" si="272"/>
        <v>Business</v>
      </c>
      <c r="D458" t="str">
        <f t="shared" si="273"/>
        <v/>
      </c>
      <c r="G458">
        <f>G99*'WK3 - Notional GI 15-16 YIELD'!$D44</f>
        <v>0</v>
      </c>
      <c r="H458">
        <f>H99*'WK3 - Notional GI 15-16 YIELD'!$D44</f>
        <v>0</v>
      </c>
      <c r="I458">
        <f>I99*'WK3 - Notional GI 15-16 YIELD'!$D44</f>
        <v>0</v>
      </c>
      <c r="J458">
        <f>J99*'WK3 - Notional GI 15-16 YIELD'!$D44</f>
        <v>0</v>
      </c>
      <c r="K458">
        <f>K99*'WK3 - Notional GI 15-16 YIELD'!$D44</f>
        <v>0</v>
      </c>
      <c r="L458">
        <f>L99*'WK3 - Notional GI 15-16 YIELD'!$D44</f>
        <v>0</v>
      </c>
    </row>
    <row r="459" spans="3:12" hidden="1" x14ac:dyDescent="0.2">
      <c r="C459" t="str">
        <f t="shared" si="272"/>
        <v>Business</v>
      </c>
      <c r="D459" t="str">
        <f t="shared" si="273"/>
        <v/>
      </c>
      <c r="G459">
        <f>G100*'WK3 - Notional GI 15-16 YIELD'!$D45</f>
        <v>0</v>
      </c>
      <c r="H459">
        <f>H100*'WK3 - Notional GI 15-16 YIELD'!$D45</f>
        <v>0</v>
      </c>
      <c r="I459">
        <f>I100*'WK3 - Notional GI 15-16 YIELD'!$D45</f>
        <v>0</v>
      </c>
      <c r="J459">
        <f>J100*'WK3 - Notional GI 15-16 YIELD'!$D45</f>
        <v>0</v>
      </c>
      <c r="K459">
        <f>K100*'WK3 - Notional GI 15-16 YIELD'!$D45</f>
        <v>0</v>
      </c>
      <c r="L459">
        <f>L100*'WK3 - Notional GI 15-16 YIELD'!$D45</f>
        <v>0</v>
      </c>
    </row>
    <row r="460" spans="3:12" hidden="1" x14ac:dyDescent="0.2">
      <c r="C460" t="str">
        <f t="shared" si="272"/>
        <v>Business</v>
      </c>
      <c r="D460" t="str">
        <f t="shared" si="273"/>
        <v/>
      </c>
      <c r="G460">
        <f>G101*'WK3 - Notional GI 15-16 YIELD'!$D46</f>
        <v>0</v>
      </c>
      <c r="H460">
        <f>H101*'WK3 - Notional GI 15-16 YIELD'!$D46</f>
        <v>0</v>
      </c>
      <c r="I460">
        <f>I101*'WK3 - Notional GI 15-16 YIELD'!$D46</f>
        <v>0</v>
      </c>
      <c r="J460">
        <f>J101*'WK3 - Notional GI 15-16 YIELD'!$D46</f>
        <v>0</v>
      </c>
      <c r="K460">
        <f>K101*'WK3 - Notional GI 15-16 YIELD'!$D46</f>
        <v>0</v>
      </c>
      <c r="L460">
        <f>L101*'WK3 - Notional GI 15-16 YIELD'!$D46</f>
        <v>0</v>
      </c>
    </row>
    <row r="461" spans="3:12" hidden="1" x14ac:dyDescent="0.2">
      <c r="C461" t="str">
        <f t="shared" si="272"/>
        <v>Business</v>
      </c>
      <c r="D461" t="str">
        <f t="shared" si="273"/>
        <v/>
      </c>
      <c r="G461">
        <f>G102*'WK3 - Notional GI 15-16 YIELD'!$D47</f>
        <v>0</v>
      </c>
      <c r="H461">
        <f>H102*'WK3 - Notional GI 15-16 YIELD'!$D47</f>
        <v>0</v>
      </c>
      <c r="I461">
        <f>I102*'WK3 - Notional GI 15-16 YIELD'!$D47</f>
        <v>0</v>
      </c>
      <c r="J461">
        <f>J102*'WK3 - Notional GI 15-16 YIELD'!$D47</f>
        <v>0</v>
      </c>
      <c r="K461">
        <f>K102*'WK3 - Notional GI 15-16 YIELD'!$D47</f>
        <v>0</v>
      </c>
      <c r="L461">
        <f>L102*'WK3 - Notional GI 15-16 YIELD'!$D47</f>
        <v>0</v>
      </c>
    </row>
    <row r="462" spans="3:12" hidden="1" x14ac:dyDescent="0.2">
      <c r="C462" t="str">
        <f t="shared" si="272"/>
        <v>Business</v>
      </c>
      <c r="D462" t="str">
        <f t="shared" si="273"/>
        <v/>
      </c>
      <c r="G462">
        <f>G103*'WK3 - Notional GI 15-16 YIELD'!$D48</f>
        <v>0</v>
      </c>
      <c r="H462">
        <f>H103*'WK3 - Notional GI 15-16 YIELD'!$D48</f>
        <v>0</v>
      </c>
      <c r="I462">
        <f>I103*'WK3 - Notional GI 15-16 YIELD'!$D48</f>
        <v>0</v>
      </c>
      <c r="J462">
        <f>J103*'WK3 - Notional GI 15-16 YIELD'!$D48</f>
        <v>0</v>
      </c>
      <c r="K462">
        <f>K103*'WK3 - Notional GI 15-16 YIELD'!$D48</f>
        <v>0</v>
      </c>
      <c r="L462">
        <f>L103*'WK3 - Notional GI 15-16 YIELD'!$D48</f>
        <v>0</v>
      </c>
    </row>
    <row r="463" spans="3:12" hidden="1" x14ac:dyDescent="0.2">
      <c r="C463" t="str">
        <f t="shared" si="272"/>
        <v>Business</v>
      </c>
      <c r="D463" t="str">
        <f t="shared" si="273"/>
        <v/>
      </c>
      <c r="G463">
        <f>G104*'WK3 - Notional GI 15-16 YIELD'!$D49</f>
        <v>0</v>
      </c>
      <c r="H463">
        <f>H104*'WK3 - Notional GI 15-16 YIELD'!$D49</f>
        <v>0</v>
      </c>
      <c r="I463">
        <f>I104*'WK3 - Notional GI 15-16 YIELD'!$D49</f>
        <v>0</v>
      </c>
      <c r="J463">
        <f>J104*'WK3 - Notional GI 15-16 YIELD'!$D49</f>
        <v>0</v>
      </c>
      <c r="K463">
        <f>K104*'WK3 - Notional GI 15-16 YIELD'!$D49</f>
        <v>0</v>
      </c>
      <c r="L463">
        <f>L104*'WK3 - Notional GI 15-16 YIELD'!$D49</f>
        <v>0</v>
      </c>
    </row>
    <row r="464" spans="3:12" hidden="1" x14ac:dyDescent="0.2">
      <c r="C464" t="str">
        <f t="shared" si="272"/>
        <v>Business</v>
      </c>
      <c r="D464" t="str">
        <f t="shared" si="273"/>
        <v/>
      </c>
      <c r="G464">
        <f>G105*'WK3 - Notional GI 15-16 YIELD'!$D50</f>
        <v>0</v>
      </c>
      <c r="H464">
        <f>H105*'WK3 - Notional GI 15-16 YIELD'!$D50</f>
        <v>0</v>
      </c>
      <c r="I464">
        <f>I105*'WK3 - Notional GI 15-16 YIELD'!$D50</f>
        <v>0</v>
      </c>
      <c r="J464">
        <f>J105*'WK3 - Notional GI 15-16 YIELD'!$D50</f>
        <v>0</v>
      </c>
      <c r="K464">
        <f>K105*'WK3 - Notional GI 15-16 YIELD'!$D50</f>
        <v>0</v>
      </c>
      <c r="L464">
        <f>L105*'WK3 - Notional GI 15-16 YIELD'!$D50</f>
        <v>0</v>
      </c>
    </row>
    <row r="465" spans="3:12" hidden="1" x14ac:dyDescent="0.2">
      <c r="C465" t="str">
        <f t="shared" si="272"/>
        <v>Business</v>
      </c>
      <c r="D465" t="str">
        <f t="shared" si="273"/>
        <v/>
      </c>
      <c r="G465">
        <f>G106*'WK3 - Notional GI 15-16 YIELD'!$D51</f>
        <v>0</v>
      </c>
      <c r="H465">
        <f>H106*'WK3 - Notional GI 15-16 YIELD'!$D51</f>
        <v>0</v>
      </c>
      <c r="I465">
        <f>I106*'WK3 - Notional GI 15-16 YIELD'!$D51</f>
        <v>0</v>
      </c>
      <c r="J465">
        <f>J106*'WK3 - Notional GI 15-16 YIELD'!$D51</f>
        <v>0</v>
      </c>
      <c r="K465">
        <f>K106*'WK3 - Notional GI 15-16 YIELD'!$D51</f>
        <v>0</v>
      </c>
      <c r="L465">
        <f>L106*'WK3 - Notional GI 15-16 YIELD'!$D51</f>
        <v>0</v>
      </c>
    </row>
    <row r="466" spans="3:12" hidden="1" x14ac:dyDescent="0.2">
      <c r="C466" t="str">
        <f t="shared" si="272"/>
        <v>Business</v>
      </c>
      <c r="D466" t="str">
        <f t="shared" si="273"/>
        <v/>
      </c>
      <c r="G466">
        <f>G107*'WK3 - Notional GI 15-16 YIELD'!$D52</f>
        <v>0</v>
      </c>
      <c r="H466">
        <f>H107*'WK3 - Notional GI 15-16 YIELD'!$D52</f>
        <v>0</v>
      </c>
      <c r="I466">
        <f>I107*'WK3 - Notional GI 15-16 YIELD'!$D52</f>
        <v>0</v>
      </c>
      <c r="J466">
        <f>J107*'WK3 - Notional GI 15-16 YIELD'!$D52</f>
        <v>0</v>
      </c>
      <c r="K466">
        <f>K107*'WK3 - Notional GI 15-16 YIELD'!$D52</f>
        <v>0</v>
      </c>
      <c r="L466">
        <f>L107*'WK3 - Notional GI 15-16 YIELD'!$D52</f>
        <v>0</v>
      </c>
    </row>
    <row r="467" spans="3:12" hidden="1" x14ac:dyDescent="0.2">
      <c r="C467" t="str">
        <f t="shared" si="272"/>
        <v>Business</v>
      </c>
      <c r="D467" t="str">
        <f t="shared" si="273"/>
        <v/>
      </c>
      <c r="G467">
        <f>G108*'WK3 - Notional GI 15-16 YIELD'!$D53</f>
        <v>0</v>
      </c>
      <c r="H467">
        <f>H108*'WK3 - Notional GI 15-16 YIELD'!$D53</f>
        <v>0</v>
      </c>
      <c r="I467">
        <f>I108*'WK3 - Notional GI 15-16 YIELD'!$D53</f>
        <v>0</v>
      </c>
      <c r="J467">
        <f>J108*'WK3 - Notional GI 15-16 YIELD'!$D53</f>
        <v>0</v>
      </c>
      <c r="K467">
        <f>K108*'WK3 - Notional GI 15-16 YIELD'!$D53</f>
        <v>0</v>
      </c>
      <c r="L467">
        <f>L108*'WK3 - Notional GI 15-16 YIELD'!$D53</f>
        <v>0</v>
      </c>
    </row>
    <row r="468" spans="3:12" hidden="1" x14ac:dyDescent="0.2">
      <c r="C468" t="str">
        <f t="shared" ref="C468:D487" si="274">C109</f>
        <v>Business</v>
      </c>
      <c r="D468" t="str">
        <f t="shared" si="274"/>
        <v/>
      </c>
      <c r="G468">
        <f>G109*'WK3 - Notional GI 15-16 YIELD'!$D54</f>
        <v>0</v>
      </c>
      <c r="H468">
        <f>H109*'WK3 - Notional GI 15-16 YIELD'!$D54</f>
        <v>0</v>
      </c>
      <c r="I468">
        <f>I109*'WK3 - Notional GI 15-16 YIELD'!$D54</f>
        <v>0</v>
      </c>
      <c r="J468">
        <f>J109*'WK3 - Notional GI 15-16 YIELD'!$D54</f>
        <v>0</v>
      </c>
      <c r="K468">
        <f>K109*'WK3 - Notional GI 15-16 YIELD'!$D54</f>
        <v>0</v>
      </c>
      <c r="L468">
        <f>L109*'WK3 - Notional GI 15-16 YIELD'!$D54</f>
        <v>0</v>
      </c>
    </row>
    <row r="469" spans="3:12" hidden="1" x14ac:dyDescent="0.2">
      <c r="C469" t="str">
        <f t="shared" si="274"/>
        <v>Business</v>
      </c>
      <c r="D469" t="str">
        <f t="shared" si="274"/>
        <v/>
      </c>
      <c r="G469">
        <f>G110*'WK3 - Notional GI 15-16 YIELD'!$D55</f>
        <v>0</v>
      </c>
      <c r="H469">
        <f>H110*'WK3 - Notional GI 15-16 YIELD'!$D55</f>
        <v>0</v>
      </c>
      <c r="I469">
        <f>I110*'WK3 - Notional GI 15-16 YIELD'!$D55</f>
        <v>0</v>
      </c>
      <c r="J469">
        <f>J110*'WK3 - Notional GI 15-16 YIELD'!$D55</f>
        <v>0</v>
      </c>
      <c r="K469">
        <f>K110*'WK3 - Notional GI 15-16 YIELD'!$D55</f>
        <v>0</v>
      </c>
      <c r="L469">
        <f>L110*'WK3 - Notional GI 15-16 YIELD'!$D55</f>
        <v>0</v>
      </c>
    </row>
    <row r="470" spans="3:12" hidden="1" x14ac:dyDescent="0.2">
      <c r="C470" t="str">
        <f t="shared" si="274"/>
        <v>Business</v>
      </c>
      <c r="D470" t="str">
        <f t="shared" si="274"/>
        <v/>
      </c>
      <c r="G470">
        <f>G111*'WK3 - Notional GI 15-16 YIELD'!$D56</f>
        <v>0</v>
      </c>
      <c r="H470">
        <f>H111*'WK3 - Notional GI 15-16 YIELD'!$D56</f>
        <v>0</v>
      </c>
      <c r="I470">
        <f>I111*'WK3 - Notional GI 15-16 YIELD'!$D56</f>
        <v>0</v>
      </c>
      <c r="J470">
        <f>J111*'WK3 - Notional GI 15-16 YIELD'!$D56</f>
        <v>0</v>
      </c>
      <c r="K470">
        <f>K111*'WK3 - Notional GI 15-16 YIELD'!$D56</f>
        <v>0</v>
      </c>
      <c r="L470">
        <f>L111*'WK3 - Notional GI 15-16 YIELD'!$D56</f>
        <v>0</v>
      </c>
    </row>
    <row r="471" spans="3:12" hidden="1" x14ac:dyDescent="0.2">
      <c r="C471" t="str">
        <f t="shared" si="274"/>
        <v>Business</v>
      </c>
      <c r="D471" t="str">
        <f t="shared" si="274"/>
        <v/>
      </c>
      <c r="G471">
        <f>G112*'WK3 - Notional GI 15-16 YIELD'!$D57</f>
        <v>0</v>
      </c>
      <c r="H471">
        <f>H112*'WK3 - Notional GI 15-16 YIELD'!$D57</f>
        <v>0</v>
      </c>
      <c r="I471">
        <f>I112*'WK3 - Notional GI 15-16 YIELD'!$D57</f>
        <v>0</v>
      </c>
      <c r="J471">
        <f>J112*'WK3 - Notional GI 15-16 YIELD'!$D57</f>
        <v>0</v>
      </c>
      <c r="K471">
        <f>K112*'WK3 - Notional GI 15-16 YIELD'!$D57</f>
        <v>0</v>
      </c>
      <c r="L471">
        <f>L112*'WK3 - Notional GI 15-16 YIELD'!$D57</f>
        <v>0</v>
      </c>
    </row>
    <row r="472" spans="3:12" hidden="1" x14ac:dyDescent="0.2">
      <c r="C472" t="str">
        <f t="shared" si="274"/>
        <v>Business</v>
      </c>
      <c r="D472" t="str">
        <f t="shared" si="274"/>
        <v/>
      </c>
      <c r="G472">
        <f>G113*'WK3 - Notional GI 15-16 YIELD'!$D58</f>
        <v>0</v>
      </c>
      <c r="H472">
        <f>H113*'WK3 - Notional GI 15-16 YIELD'!$D58</f>
        <v>0</v>
      </c>
      <c r="I472">
        <f>I113*'WK3 - Notional GI 15-16 YIELD'!$D58</f>
        <v>0</v>
      </c>
      <c r="J472">
        <f>J113*'WK3 - Notional GI 15-16 YIELD'!$D58</f>
        <v>0</v>
      </c>
      <c r="K472">
        <f>K113*'WK3 - Notional GI 15-16 YIELD'!$D58</f>
        <v>0</v>
      </c>
      <c r="L472">
        <f>L113*'WK3 - Notional GI 15-16 YIELD'!$D58</f>
        <v>0</v>
      </c>
    </row>
    <row r="473" spans="3:12" hidden="1" x14ac:dyDescent="0.2">
      <c r="C473" t="str">
        <f t="shared" si="274"/>
        <v>Special rate</v>
      </c>
      <c r="D473" t="str">
        <f t="shared" si="274"/>
        <v>Jerberra Electricity Infrastructure</v>
      </c>
      <c r="G473">
        <f>G114*'WK3 - Notional GI 15-16 YIELD'!$D101</f>
        <v>213185.80303400001</v>
      </c>
      <c r="H473">
        <f>H114*'WK3 - Notional GI 15-16 YIELD'!$D101</f>
        <v>219581.37712502002</v>
      </c>
      <c r="I473">
        <f>I114*'WK3 - Notional GI 15-16 YIELD'!$D101</f>
        <v>226168.81843877063</v>
      </c>
      <c r="J473">
        <f>J114*'WK3 - Notional GI 15-16 YIELD'!$D101</f>
        <v>232953.88299193376</v>
      </c>
      <c r="K473">
        <f>K114*'WK3 - Notional GI 15-16 YIELD'!$D101</f>
        <v>239942.4994816918</v>
      </c>
      <c r="L473">
        <f>L114*'WK3 - Notional GI 15-16 YIELD'!$D101</f>
        <v>247140.77446614255</v>
      </c>
    </row>
    <row r="474" spans="3:12" hidden="1" x14ac:dyDescent="0.2">
      <c r="C474" t="str">
        <f t="shared" si="274"/>
        <v>Special rate</v>
      </c>
      <c r="D474" t="str">
        <f t="shared" ref="D474:D487" si="275">D115</f>
        <v>Jerberra Road - E2 Infrastructure</v>
      </c>
      <c r="G474">
        <f>G115*'WK3 - Notional GI 15-16 YIELD'!$D102</f>
        <v>23789.299416000002</v>
      </c>
      <c r="H474">
        <f>H115*'WK3 - Notional GI 15-16 YIELD'!$D102</f>
        <v>24502.978398480005</v>
      </c>
      <c r="I474">
        <f>I115*'WK3 - Notional GI 15-16 YIELD'!$D102</f>
        <v>25238.067750434406</v>
      </c>
      <c r="J474">
        <f>J115*'WK3 - Notional GI 15-16 YIELD'!$D102</f>
        <v>25995.209782947441</v>
      </c>
      <c r="K474">
        <f>K115*'WK3 - Notional GI 15-16 YIELD'!$D102</f>
        <v>26775.066076435865</v>
      </c>
      <c r="L474">
        <f>L115*'WK3 - Notional GI 15-16 YIELD'!$D102</f>
        <v>27578.318058728943</v>
      </c>
    </row>
    <row r="475" spans="3:12" hidden="1" x14ac:dyDescent="0.2">
      <c r="C475" t="str">
        <f t="shared" si="274"/>
        <v>Special rate</v>
      </c>
      <c r="D475" t="str">
        <f t="shared" si="275"/>
        <v/>
      </c>
      <c r="G475">
        <f>G116*'WK3 - Notional GI 15-16 YIELD'!$D103</f>
        <v>0</v>
      </c>
      <c r="H475">
        <f>H116*'WK3 - Notional GI 15-16 YIELD'!$D103</f>
        <v>0</v>
      </c>
      <c r="I475">
        <f>I116*'WK3 - Notional GI 15-16 YIELD'!$D103</f>
        <v>0</v>
      </c>
      <c r="J475">
        <f>J116*'WK3 - Notional GI 15-16 YIELD'!$D103</f>
        <v>0</v>
      </c>
      <c r="K475">
        <f>K116*'WK3 - Notional GI 15-16 YIELD'!$D103</f>
        <v>0</v>
      </c>
      <c r="L475">
        <f>L116*'WK3 - Notional GI 15-16 YIELD'!$D103</f>
        <v>0</v>
      </c>
    </row>
    <row r="476" spans="3:12" hidden="1" x14ac:dyDescent="0.2">
      <c r="C476" t="str">
        <f t="shared" si="274"/>
        <v>Special rate</v>
      </c>
      <c r="D476" t="str">
        <f t="shared" si="275"/>
        <v/>
      </c>
      <c r="G476">
        <f>G117*'WK3 - Notional GI 15-16 YIELD'!$D104</f>
        <v>0</v>
      </c>
      <c r="H476">
        <f>H117*'WK3 - Notional GI 15-16 YIELD'!$D104</f>
        <v>0</v>
      </c>
      <c r="I476">
        <f>I117*'WK3 - Notional GI 15-16 YIELD'!$D104</f>
        <v>0</v>
      </c>
      <c r="J476">
        <f>J117*'WK3 - Notional GI 15-16 YIELD'!$D104</f>
        <v>0</v>
      </c>
      <c r="K476">
        <f>K117*'WK3 - Notional GI 15-16 YIELD'!$D104</f>
        <v>0</v>
      </c>
      <c r="L476">
        <f>L117*'WK3 - Notional GI 15-16 YIELD'!$D104</f>
        <v>0</v>
      </c>
    </row>
    <row r="477" spans="3:12" hidden="1" x14ac:dyDescent="0.2">
      <c r="C477" t="str">
        <f t="shared" si="274"/>
        <v>Special rate</v>
      </c>
      <c r="D477" t="str">
        <f t="shared" si="275"/>
        <v/>
      </c>
      <c r="G477">
        <f>G118*'WK3 - Notional GI 15-16 YIELD'!$D105</f>
        <v>0</v>
      </c>
      <c r="H477">
        <f>H118*'WK3 - Notional GI 15-16 YIELD'!$D105</f>
        <v>0</v>
      </c>
      <c r="I477">
        <f>I118*'WK3 - Notional GI 15-16 YIELD'!$D105</f>
        <v>0</v>
      </c>
      <c r="J477">
        <f>J118*'WK3 - Notional GI 15-16 YIELD'!$D105</f>
        <v>0</v>
      </c>
      <c r="K477">
        <f>K118*'WK3 - Notional GI 15-16 YIELD'!$D105</f>
        <v>0</v>
      </c>
      <c r="L477">
        <f>L118*'WK3 - Notional GI 15-16 YIELD'!$D105</f>
        <v>0</v>
      </c>
    </row>
    <row r="478" spans="3:12" hidden="1" x14ac:dyDescent="0.2">
      <c r="C478" t="str">
        <f t="shared" si="274"/>
        <v>Special rate</v>
      </c>
      <c r="D478" t="str">
        <f t="shared" si="275"/>
        <v/>
      </c>
      <c r="G478">
        <f>G119*'WK3 - Notional GI 15-16 YIELD'!$D106</f>
        <v>0</v>
      </c>
      <c r="H478">
        <f>H119*'WK3 - Notional GI 15-16 YIELD'!$D106</f>
        <v>0</v>
      </c>
      <c r="I478">
        <f>I119*'WK3 - Notional GI 15-16 YIELD'!$D106</f>
        <v>0</v>
      </c>
      <c r="J478">
        <f>J119*'WK3 - Notional GI 15-16 YIELD'!$D106</f>
        <v>0</v>
      </c>
      <c r="K478">
        <f>K119*'WK3 - Notional GI 15-16 YIELD'!$D106</f>
        <v>0</v>
      </c>
      <c r="L478">
        <f>L119*'WK3 - Notional GI 15-16 YIELD'!$D106</f>
        <v>0</v>
      </c>
    </row>
    <row r="479" spans="3:12" hidden="1" x14ac:dyDescent="0.2">
      <c r="C479" t="str">
        <f t="shared" si="274"/>
        <v>Special rate</v>
      </c>
      <c r="D479" t="str">
        <f t="shared" si="275"/>
        <v/>
      </c>
      <c r="G479">
        <f>G120*'WK3 - Notional GI 15-16 YIELD'!$D107</f>
        <v>0</v>
      </c>
      <c r="H479">
        <f>H120*'WK3 - Notional GI 15-16 YIELD'!$D107</f>
        <v>0</v>
      </c>
      <c r="I479">
        <f>I120*'WK3 - Notional GI 15-16 YIELD'!$D107</f>
        <v>0</v>
      </c>
      <c r="J479">
        <f>J120*'WK3 - Notional GI 15-16 YIELD'!$D107</f>
        <v>0</v>
      </c>
      <c r="K479">
        <f>K120*'WK3 - Notional GI 15-16 YIELD'!$D107</f>
        <v>0</v>
      </c>
      <c r="L479">
        <f>L120*'WK3 - Notional GI 15-16 YIELD'!$D107</f>
        <v>0</v>
      </c>
    </row>
    <row r="480" spans="3:12" hidden="1" x14ac:dyDescent="0.2">
      <c r="C480" t="str">
        <f t="shared" si="274"/>
        <v>Special rate</v>
      </c>
      <c r="D480" t="str">
        <f t="shared" si="275"/>
        <v/>
      </c>
      <c r="G480">
        <f>G121*'WK3 - Notional GI 15-16 YIELD'!$D108</f>
        <v>0</v>
      </c>
      <c r="H480">
        <f>H121*'WK3 - Notional GI 15-16 YIELD'!$D108</f>
        <v>0</v>
      </c>
      <c r="I480">
        <f>I121*'WK3 - Notional GI 15-16 YIELD'!$D108</f>
        <v>0</v>
      </c>
      <c r="J480">
        <f>J121*'WK3 - Notional GI 15-16 YIELD'!$D108</f>
        <v>0</v>
      </c>
      <c r="K480">
        <f>K121*'WK3 - Notional GI 15-16 YIELD'!$D108</f>
        <v>0</v>
      </c>
      <c r="L480">
        <f>L121*'WK3 - Notional GI 15-16 YIELD'!$D108</f>
        <v>0</v>
      </c>
    </row>
    <row r="481" spans="3:13" hidden="1" x14ac:dyDescent="0.2">
      <c r="C481" t="str">
        <f t="shared" si="274"/>
        <v>Special rate</v>
      </c>
      <c r="D481" t="str">
        <f t="shared" si="275"/>
        <v/>
      </c>
      <c r="G481">
        <f>G122*'WK3 - Notional GI 15-16 YIELD'!$D109</f>
        <v>0</v>
      </c>
      <c r="H481">
        <f>H122*'WK3 - Notional GI 15-16 YIELD'!$D109</f>
        <v>0</v>
      </c>
      <c r="I481">
        <f>I122*'WK3 - Notional GI 15-16 YIELD'!$D109</f>
        <v>0</v>
      </c>
      <c r="J481">
        <f>J122*'WK3 - Notional GI 15-16 YIELD'!$D109</f>
        <v>0</v>
      </c>
      <c r="K481">
        <f>K122*'WK3 - Notional GI 15-16 YIELD'!$D109</f>
        <v>0</v>
      </c>
      <c r="L481">
        <f>L122*'WK3 - Notional GI 15-16 YIELD'!$D109</f>
        <v>0</v>
      </c>
    </row>
    <row r="482" spans="3:13" hidden="1" x14ac:dyDescent="0.2">
      <c r="C482" t="str">
        <f t="shared" si="274"/>
        <v>Special rate</v>
      </c>
      <c r="D482" t="str">
        <f t="shared" si="275"/>
        <v/>
      </c>
      <c r="G482">
        <f>G123*'WK3 - Notional GI 15-16 YIELD'!$D110</f>
        <v>0</v>
      </c>
      <c r="H482">
        <f>H123*'WK3 - Notional GI 15-16 YIELD'!$D110</f>
        <v>0</v>
      </c>
      <c r="I482">
        <f>I123*'WK3 - Notional GI 15-16 YIELD'!$D110</f>
        <v>0</v>
      </c>
      <c r="J482">
        <f>J123*'WK3 - Notional GI 15-16 YIELD'!$D110</f>
        <v>0</v>
      </c>
      <c r="K482">
        <f>K123*'WK3 - Notional GI 15-16 YIELD'!$D110</f>
        <v>0</v>
      </c>
      <c r="L482">
        <f>L123*'WK3 - Notional GI 15-16 YIELD'!$D110</f>
        <v>0</v>
      </c>
    </row>
    <row r="483" spans="3:13" hidden="1" x14ac:dyDescent="0.2">
      <c r="C483" t="str">
        <f t="shared" si="274"/>
        <v>Special rate</v>
      </c>
      <c r="D483" t="str">
        <f t="shared" si="275"/>
        <v/>
      </c>
      <c r="G483">
        <f>G124*'WK3 - Notional GI 15-16 YIELD'!$D111</f>
        <v>0</v>
      </c>
      <c r="H483">
        <f>H124*'WK3 - Notional GI 15-16 YIELD'!$D111</f>
        <v>0</v>
      </c>
      <c r="I483">
        <f>I124*'WK3 - Notional GI 15-16 YIELD'!$D111</f>
        <v>0</v>
      </c>
      <c r="J483">
        <f>J124*'WK3 - Notional GI 15-16 YIELD'!$D111</f>
        <v>0</v>
      </c>
      <c r="K483">
        <f>K124*'WK3 - Notional GI 15-16 YIELD'!$D111</f>
        <v>0</v>
      </c>
      <c r="L483">
        <f>L124*'WK3 - Notional GI 15-16 YIELD'!$D111</f>
        <v>0</v>
      </c>
    </row>
    <row r="484" spans="3:13" hidden="1" x14ac:dyDescent="0.2">
      <c r="C484" t="str">
        <f t="shared" si="274"/>
        <v>Special rate</v>
      </c>
      <c r="D484" t="str">
        <f t="shared" si="275"/>
        <v/>
      </c>
      <c r="G484">
        <f>G125*'WK3 - Notional GI 15-16 YIELD'!$D112</f>
        <v>0</v>
      </c>
      <c r="H484">
        <f>H125*'WK3 - Notional GI 15-16 YIELD'!$D112</f>
        <v>0</v>
      </c>
      <c r="I484">
        <f>I125*'WK3 - Notional GI 15-16 YIELD'!$D112</f>
        <v>0</v>
      </c>
      <c r="J484">
        <f>J125*'WK3 - Notional GI 15-16 YIELD'!$D112</f>
        <v>0</v>
      </c>
      <c r="K484">
        <f>K125*'WK3 - Notional GI 15-16 YIELD'!$D112</f>
        <v>0</v>
      </c>
      <c r="L484">
        <f>L125*'WK3 - Notional GI 15-16 YIELD'!$D112</f>
        <v>0</v>
      </c>
    </row>
    <row r="485" spans="3:13" hidden="1" x14ac:dyDescent="0.2">
      <c r="C485" t="str">
        <f t="shared" si="274"/>
        <v>Special rate</v>
      </c>
      <c r="D485" t="str">
        <f t="shared" si="275"/>
        <v/>
      </c>
      <c r="G485">
        <f>G126*'WK3 - Notional GI 15-16 YIELD'!$D113</f>
        <v>0</v>
      </c>
      <c r="H485">
        <f>H126*'WK3 - Notional GI 15-16 YIELD'!$D113</f>
        <v>0</v>
      </c>
      <c r="I485">
        <f>I126*'WK3 - Notional GI 15-16 YIELD'!$D113</f>
        <v>0</v>
      </c>
      <c r="J485">
        <f>J126*'WK3 - Notional GI 15-16 YIELD'!$D113</f>
        <v>0</v>
      </c>
      <c r="K485">
        <f>K126*'WK3 - Notional GI 15-16 YIELD'!$D113</f>
        <v>0</v>
      </c>
      <c r="L485">
        <f>L126*'WK3 - Notional GI 15-16 YIELD'!$D113</f>
        <v>0</v>
      </c>
    </row>
    <row r="486" spans="3:13" hidden="1" x14ac:dyDescent="0.2">
      <c r="C486" t="str">
        <f t="shared" si="274"/>
        <v>Special rate</v>
      </c>
      <c r="D486" t="str">
        <f t="shared" si="275"/>
        <v/>
      </c>
      <c r="G486">
        <f>G127*'WK3 - Notional GI 15-16 YIELD'!$D114</f>
        <v>0</v>
      </c>
      <c r="H486">
        <f>H127*'WK3 - Notional GI 15-16 YIELD'!$D114</f>
        <v>0</v>
      </c>
      <c r="I486">
        <f>I127*'WK3 - Notional GI 15-16 YIELD'!$D114</f>
        <v>0</v>
      </c>
      <c r="J486">
        <f>J127*'WK3 - Notional GI 15-16 YIELD'!$D114</f>
        <v>0</v>
      </c>
      <c r="K486">
        <f>K127*'WK3 - Notional GI 15-16 YIELD'!$D114</f>
        <v>0</v>
      </c>
      <c r="L486">
        <f>L127*'WK3 - Notional GI 15-16 YIELD'!$D114</f>
        <v>0</v>
      </c>
    </row>
    <row r="487" spans="3:13" hidden="1" x14ac:dyDescent="0.2">
      <c r="C487" t="str">
        <f t="shared" si="274"/>
        <v>Special rate</v>
      </c>
      <c r="D487" t="str">
        <f t="shared" si="275"/>
        <v/>
      </c>
      <c r="G487">
        <f>G128*'WK3 - Notional GI 15-16 YIELD'!$D115</f>
        <v>0</v>
      </c>
      <c r="H487">
        <f>H128*'WK3 - Notional GI 15-16 YIELD'!$D115</f>
        <v>0</v>
      </c>
      <c r="I487">
        <f>I128*'WK3 - Notional GI 15-16 YIELD'!$D115</f>
        <v>0</v>
      </c>
      <c r="J487">
        <f>J128*'WK3 - Notional GI 15-16 YIELD'!$D115</f>
        <v>0</v>
      </c>
      <c r="K487">
        <f>K128*'WK3 - Notional GI 15-16 YIELD'!$D115</f>
        <v>0</v>
      </c>
      <c r="L487">
        <f>L128*'WK3 - Notional GI 15-16 YIELD'!$D115</f>
        <v>0</v>
      </c>
    </row>
    <row r="488" spans="3:13" hidden="1" x14ac:dyDescent="0.2">
      <c r="C488" t="str">
        <f t="shared" ref="C488:D492" si="276">C129</f>
        <v>Special rate</v>
      </c>
      <c r="D488" t="str">
        <f t="shared" si="276"/>
        <v/>
      </c>
      <c r="G488">
        <f>G129*'WK3 - Notional GI 15-16 YIELD'!$D116</f>
        <v>0</v>
      </c>
      <c r="H488">
        <f>H129*'WK3 - Notional GI 15-16 YIELD'!$D116</f>
        <v>0</v>
      </c>
      <c r="I488">
        <f>I129*'WK3 - Notional GI 15-16 YIELD'!$D116</f>
        <v>0</v>
      </c>
      <c r="J488">
        <f>J129*'WK3 - Notional GI 15-16 YIELD'!$D116</f>
        <v>0</v>
      </c>
      <c r="K488">
        <f>K129*'WK3 - Notional GI 15-16 YIELD'!$D116</f>
        <v>0</v>
      </c>
      <c r="L488">
        <f>L129*'WK3 - Notional GI 15-16 YIELD'!$D116</f>
        <v>0</v>
      </c>
    </row>
    <row r="489" spans="3:13" hidden="1" x14ac:dyDescent="0.2">
      <c r="C489" t="str">
        <f t="shared" si="276"/>
        <v>Special rate</v>
      </c>
      <c r="D489" t="str">
        <f t="shared" si="276"/>
        <v/>
      </c>
      <c r="G489">
        <f>G130*'WK3 - Notional GI 15-16 YIELD'!$D117</f>
        <v>0</v>
      </c>
      <c r="H489">
        <f>H130*'WK3 - Notional GI 15-16 YIELD'!$D117</f>
        <v>0</v>
      </c>
      <c r="I489">
        <f>I130*'WK3 - Notional GI 15-16 YIELD'!$D117</f>
        <v>0</v>
      </c>
      <c r="J489">
        <f>J130*'WK3 - Notional GI 15-16 YIELD'!$D117</f>
        <v>0</v>
      </c>
      <c r="K489">
        <f>K130*'WK3 - Notional GI 15-16 YIELD'!$D117</f>
        <v>0</v>
      </c>
      <c r="L489">
        <f>L130*'WK3 - Notional GI 15-16 YIELD'!$D117</f>
        <v>0</v>
      </c>
    </row>
    <row r="490" spans="3:13" hidden="1" x14ac:dyDescent="0.2">
      <c r="C490" t="str">
        <f t="shared" si="276"/>
        <v>Special rate</v>
      </c>
      <c r="D490" t="str">
        <f t="shared" si="276"/>
        <v/>
      </c>
      <c r="G490">
        <f>G131*'WK3 - Notional GI 15-16 YIELD'!$D118</f>
        <v>0</v>
      </c>
      <c r="H490">
        <f>H131*'WK3 - Notional GI 15-16 YIELD'!$D118</f>
        <v>0</v>
      </c>
      <c r="I490">
        <f>I131*'WK3 - Notional GI 15-16 YIELD'!$D118</f>
        <v>0</v>
      </c>
      <c r="J490">
        <f>J131*'WK3 - Notional GI 15-16 YIELD'!$D118</f>
        <v>0</v>
      </c>
      <c r="K490">
        <f>K131*'WK3 - Notional GI 15-16 YIELD'!$D118</f>
        <v>0</v>
      </c>
      <c r="L490">
        <f>L131*'WK3 - Notional GI 15-16 YIELD'!$D118</f>
        <v>0</v>
      </c>
    </row>
    <row r="491" spans="3:13" hidden="1" x14ac:dyDescent="0.2">
      <c r="C491" t="str">
        <f t="shared" si="276"/>
        <v>Special rate</v>
      </c>
      <c r="D491" t="str">
        <f t="shared" si="276"/>
        <v/>
      </c>
      <c r="G491">
        <f>G132*'WK3 - Notional GI 15-16 YIELD'!$D119</f>
        <v>0</v>
      </c>
      <c r="H491">
        <f>H132*'WK3 - Notional GI 15-16 YIELD'!$D119</f>
        <v>0</v>
      </c>
      <c r="I491">
        <f>I132*'WK3 - Notional GI 15-16 YIELD'!$D119</f>
        <v>0</v>
      </c>
      <c r="J491">
        <f>J132*'WK3 - Notional GI 15-16 YIELD'!$D119</f>
        <v>0</v>
      </c>
      <c r="K491">
        <f>K132*'WK3 - Notional GI 15-16 YIELD'!$D119</f>
        <v>0</v>
      </c>
      <c r="L491">
        <f>L132*'WK3 - Notional GI 15-16 YIELD'!$D119</f>
        <v>0</v>
      </c>
    </row>
    <row r="492" spans="3:13" hidden="1" x14ac:dyDescent="0.2">
      <c r="C492" t="str">
        <f t="shared" si="276"/>
        <v>Special rate</v>
      </c>
      <c r="D492" t="str">
        <f t="shared" si="276"/>
        <v/>
      </c>
      <c r="G492">
        <f>G133*'WK3 - Notional GI 15-16 YIELD'!$D120</f>
        <v>0</v>
      </c>
      <c r="H492">
        <f>H133*'WK3 - Notional GI 15-16 YIELD'!$D120</f>
        <v>0</v>
      </c>
      <c r="I492">
        <f>I133*'WK3 - Notional GI 15-16 YIELD'!$D120</f>
        <v>0</v>
      </c>
      <c r="J492">
        <f>J133*'WK3 - Notional GI 15-16 YIELD'!$D120</f>
        <v>0</v>
      </c>
      <c r="K492">
        <f>K133*'WK3 - Notional GI 15-16 YIELD'!$D120</f>
        <v>0</v>
      </c>
      <c r="L492">
        <f>L133*'WK3 - Notional GI 15-16 YIELD'!$D120</f>
        <v>0</v>
      </c>
    </row>
    <row r="493" spans="3:13" s="165" customFormat="1" hidden="1" x14ac:dyDescent="0.2">
      <c r="D493" s="165" t="s">
        <v>694</v>
      </c>
      <c r="G493" s="165">
        <f t="shared" ref="G493:L493" si="277">SUM(G448:G492)</f>
        <v>5284780.2111133942</v>
      </c>
      <c r="H493" s="165">
        <f t="shared" si="277"/>
        <v>5443323.617446797</v>
      </c>
      <c r="I493" s="165">
        <f t="shared" si="277"/>
        <v>5606623.325970199</v>
      </c>
      <c r="J493" s="165">
        <f t="shared" si="277"/>
        <v>5774822.0257493081</v>
      </c>
      <c r="K493" s="165">
        <f t="shared" si="277"/>
        <v>5948066.6865217872</v>
      </c>
      <c r="L493" s="165">
        <f t="shared" si="277"/>
        <v>6126508.6871174397</v>
      </c>
    </row>
    <row r="494" spans="3:13" hidden="1" x14ac:dyDescent="0.2">
      <c r="C494" t="str">
        <f>C135</f>
        <v>Farmland</v>
      </c>
      <c r="D494" t="str">
        <f>D135</f>
        <v/>
      </c>
      <c r="G494">
        <f>G135*'WK3 - Notional GI 15-16 YIELD'!$D60</f>
        <v>1766320.4162664998</v>
      </c>
      <c r="H494">
        <f>H135*'WK3 - Notional GI 15-16 YIELD'!$D60</f>
        <v>1819310.0287544951</v>
      </c>
      <c r="I494">
        <f>I135*'WK3 - Notional GI 15-16 YIELD'!$D60</f>
        <v>1873889.3296171301</v>
      </c>
      <c r="J494">
        <f>J135*'WK3 - Notional GI 15-16 YIELD'!$D60</f>
        <v>1930106.009505644</v>
      </c>
      <c r="K494">
        <f>K135*'WK3 - Notional GI 15-16 YIELD'!$D60</f>
        <v>1988009.1897908133</v>
      </c>
      <c r="L494">
        <f>L135*'WK3 - Notional GI 15-16 YIELD'!$D60</f>
        <v>2047649.4654845379</v>
      </c>
      <c r="M494">
        <f>M135*'WK3 - Notional GI 15-16 YIELD'!$D$60</f>
        <v>0</v>
      </c>
    </row>
    <row r="495" spans="3:13" hidden="1" x14ac:dyDescent="0.2">
      <c r="C495" t="str">
        <f t="shared" ref="C495:D503" si="278">C136</f>
        <v>Farmland</v>
      </c>
      <c r="D495" t="str">
        <f t="shared" si="278"/>
        <v>Dairy Farmers</v>
      </c>
      <c r="G495">
        <f>G136*'WK3 - Notional GI 15-16 YIELD'!$D61</f>
        <v>200390.915095</v>
      </c>
      <c r="H495">
        <f>H136*'WK3 - Notional GI 15-16 YIELD'!$D61</f>
        <v>206402.64254785</v>
      </c>
      <c r="I495">
        <f>I136*'WK3 - Notional GI 15-16 YIELD'!$D61</f>
        <v>212594.72182428549</v>
      </c>
      <c r="J495">
        <f>J136*'WK3 - Notional GI 15-16 YIELD'!$D61</f>
        <v>218972.56347901406</v>
      </c>
      <c r="K495">
        <f>K136*'WK3 - Notional GI 15-16 YIELD'!$D61</f>
        <v>225541.74038338452</v>
      </c>
      <c r="L495">
        <f>L136*'WK3 - Notional GI 15-16 YIELD'!$D61</f>
        <v>232307.99259488605</v>
      </c>
    </row>
    <row r="496" spans="3:13" hidden="1" x14ac:dyDescent="0.2">
      <c r="C496" t="str">
        <f t="shared" si="278"/>
        <v>Farmland</v>
      </c>
      <c r="D496" t="str">
        <f t="shared" si="278"/>
        <v/>
      </c>
      <c r="G496">
        <f>G137*'WK3 - Notional GI 15-16 YIELD'!$D62</f>
        <v>0</v>
      </c>
      <c r="H496">
        <f>H137*'WK3 - Notional GI 15-16 YIELD'!$D62</f>
        <v>0</v>
      </c>
      <c r="I496">
        <f>I137*'WK3 - Notional GI 15-16 YIELD'!$D62</f>
        <v>0</v>
      </c>
      <c r="J496">
        <f>J137*'WK3 - Notional GI 15-16 YIELD'!$D62</f>
        <v>0</v>
      </c>
      <c r="K496">
        <f>K137*'WK3 - Notional GI 15-16 YIELD'!$D62</f>
        <v>0</v>
      </c>
      <c r="L496">
        <f>L137*'WK3 - Notional GI 15-16 YIELD'!$D62</f>
        <v>0</v>
      </c>
    </row>
    <row r="497" spans="3:12" hidden="1" x14ac:dyDescent="0.2">
      <c r="C497" t="str">
        <f t="shared" si="278"/>
        <v>Farmland</v>
      </c>
      <c r="D497" t="str">
        <f t="shared" si="278"/>
        <v/>
      </c>
      <c r="G497">
        <f>G138*'WK3 - Notional GI 15-16 YIELD'!$D63</f>
        <v>0</v>
      </c>
      <c r="H497">
        <f>H138*'WK3 - Notional GI 15-16 YIELD'!$D63</f>
        <v>0</v>
      </c>
      <c r="I497">
        <f>I138*'WK3 - Notional GI 15-16 YIELD'!$D63</f>
        <v>0</v>
      </c>
      <c r="J497">
        <f>J138*'WK3 - Notional GI 15-16 YIELD'!$D63</f>
        <v>0</v>
      </c>
      <c r="K497">
        <f>K138*'WK3 - Notional GI 15-16 YIELD'!$D63</f>
        <v>0</v>
      </c>
      <c r="L497">
        <f>L138*'WK3 - Notional GI 15-16 YIELD'!$D63</f>
        <v>0</v>
      </c>
    </row>
    <row r="498" spans="3:12" hidden="1" x14ac:dyDescent="0.2">
      <c r="C498" t="str">
        <f t="shared" si="278"/>
        <v>Farmland</v>
      </c>
      <c r="D498" t="str">
        <f t="shared" si="278"/>
        <v/>
      </c>
      <c r="G498">
        <f>G139*'WK3 - Notional GI 15-16 YIELD'!$D64</f>
        <v>0</v>
      </c>
      <c r="H498">
        <f>H139*'WK3 - Notional GI 15-16 YIELD'!$D64</f>
        <v>0</v>
      </c>
      <c r="I498">
        <f>I139*'WK3 - Notional GI 15-16 YIELD'!$D64</f>
        <v>0</v>
      </c>
      <c r="J498">
        <f>J139*'WK3 - Notional GI 15-16 YIELD'!$D64</f>
        <v>0</v>
      </c>
      <c r="K498">
        <f>K139*'WK3 - Notional GI 15-16 YIELD'!$D64</f>
        <v>0</v>
      </c>
      <c r="L498">
        <f>L139*'WK3 - Notional GI 15-16 YIELD'!$D64</f>
        <v>0</v>
      </c>
    </row>
    <row r="499" spans="3:12" hidden="1" x14ac:dyDescent="0.2">
      <c r="C499" t="str">
        <f t="shared" si="278"/>
        <v>Farmland</v>
      </c>
      <c r="D499" t="str">
        <f t="shared" si="278"/>
        <v/>
      </c>
      <c r="G499">
        <f>G140*'WK3 - Notional GI 15-16 YIELD'!$D65</f>
        <v>0</v>
      </c>
      <c r="H499">
        <f>H140*'WK3 - Notional GI 15-16 YIELD'!$D65</f>
        <v>0</v>
      </c>
      <c r="I499">
        <f>I140*'WK3 - Notional GI 15-16 YIELD'!$D65</f>
        <v>0</v>
      </c>
      <c r="J499">
        <f>J140*'WK3 - Notional GI 15-16 YIELD'!$D65</f>
        <v>0</v>
      </c>
      <c r="K499">
        <f>K140*'WK3 - Notional GI 15-16 YIELD'!$D65</f>
        <v>0</v>
      </c>
      <c r="L499">
        <f>L140*'WK3 - Notional GI 15-16 YIELD'!$D65</f>
        <v>0</v>
      </c>
    </row>
    <row r="500" spans="3:12" hidden="1" x14ac:dyDescent="0.2">
      <c r="C500" t="str">
        <f t="shared" si="278"/>
        <v>Farmland</v>
      </c>
      <c r="D500" t="str">
        <f t="shared" si="278"/>
        <v/>
      </c>
      <c r="G500">
        <f>G141*'WK3 - Notional GI 15-16 YIELD'!$D66</f>
        <v>0</v>
      </c>
      <c r="H500">
        <f>H141*'WK3 - Notional GI 15-16 YIELD'!$D66</f>
        <v>0</v>
      </c>
      <c r="I500">
        <f>I141*'WK3 - Notional GI 15-16 YIELD'!$D66</f>
        <v>0</v>
      </c>
      <c r="J500">
        <f>J141*'WK3 - Notional GI 15-16 YIELD'!$D66</f>
        <v>0</v>
      </c>
      <c r="K500">
        <f>K141*'WK3 - Notional GI 15-16 YIELD'!$D66</f>
        <v>0</v>
      </c>
      <c r="L500">
        <f>L141*'WK3 - Notional GI 15-16 YIELD'!$D66</f>
        <v>0</v>
      </c>
    </row>
    <row r="501" spans="3:12" hidden="1" x14ac:dyDescent="0.2">
      <c r="C501" t="str">
        <f t="shared" si="278"/>
        <v>Farmland</v>
      </c>
      <c r="D501" t="str">
        <f t="shared" si="278"/>
        <v/>
      </c>
      <c r="G501">
        <f>G142*'WK3 - Notional GI 15-16 YIELD'!$D67</f>
        <v>0</v>
      </c>
      <c r="H501">
        <f>H142*'WK3 - Notional GI 15-16 YIELD'!$D67</f>
        <v>0</v>
      </c>
      <c r="I501">
        <f>I142*'WK3 - Notional GI 15-16 YIELD'!$D67</f>
        <v>0</v>
      </c>
      <c r="J501">
        <f>J142*'WK3 - Notional GI 15-16 YIELD'!$D67</f>
        <v>0</v>
      </c>
      <c r="K501">
        <f>K142*'WK3 - Notional GI 15-16 YIELD'!$D67</f>
        <v>0</v>
      </c>
      <c r="L501">
        <f>L142*'WK3 - Notional GI 15-16 YIELD'!$D67</f>
        <v>0</v>
      </c>
    </row>
    <row r="502" spans="3:12" hidden="1" x14ac:dyDescent="0.2">
      <c r="C502" t="str">
        <f t="shared" si="278"/>
        <v>Farmland</v>
      </c>
      <c r="D502" t="str">
        <f t="shared" si="278"/>
        <v/>
      </c>
      <c r="G502">
        <f>G143*'WK3 - Notional GI 15-16 YIELD'!$D68</f>
        <v>0</v>
      </c>
      <c r="H502">
        <f>H143*'WK3 - Notional GI 15-16 YIELD'!$D68</f>
        <v>0</v>
      </c>
      <c r="I502">
        <f>I143*'WK3 - Notional GI 15-16 YIELD'!$D68</f>
        <v>0</v>
      </c>
      <c r="J502">
        <f>J143*'WK3 - Notional GI 15-16 YIELD'!$D68</f>
        <v>0</v>
      </c>
      <c r="K502">
        <f>K143*'WK3 - Notional GI 15-16 YIELD'!$D68</f>
        <v>0</v>
      </c>
      <c r="L502">
        <f>L143*'WK3 - Notional GI 15-16 YIELD'!$D68</f>
        <v>0</v>
      </c>
    </row>
    <row r="503" spans="3:12" hidden="1" x14ac:dyDescent="0.2">
      <c r="C503" t="str">
        <f t="shared" si="278"/>
        <v>Farmland</v>
      </c>
      <c r="D503" t="str">
        <f t="shared" si="278"/>
        <v/>
      </c>
      <c r="G503">
        <f>G144*'WK3 - Notional GI 15-16 YIELD'!$D69</f>
        <v>0</v>
      </c>
      <c r="H503">
        <f>H144*'WK3 - Notional GI 15-16 YIELD'!$D69</f>
        <v>0</v>
      </c>
      <c r="I503">
        <f>I144*'WK3 - Notional GI 15-16 YIELD'!$D69</f>
        <v>0</v>
      </c>
      <c r="J503">
        <f>J144*'WK3 - Notional GI 15-16 YIELD'!$D69</f>
        <v>0</v>
      </c>
      <c r="K503">
        <f>K144*'WK3 - Notional GI 15-16 YIELD'!$D69</f>
        <v>0</v>
      </c>
      <c r="L503">
        <f>L144*'WK3 - Notional GI 15-16 YIELD'!$D69</f>
        <v>0</v>
      </c>
    </row>
    <row r="504" spans="3:12" hidden="1" x14ac:dyDescent="0.2">
      <c r="C504" t="str">
        <f>C145</f>
        <v>Special rate</v>
      </c>
      <c r="D504" t="str">
        <f>D145</f>
        <v/>
      </c>
      <c r="G504">
        <f>G145*'WK3 - Notional GI 15-16 YIELD'!$D121</f>
        <v>0</v>
      </c>
      <c r="H504">
        <f>H145*'WK3 - Notional GI 15-16 YIELD'!$D121</f>
        <v>0</v>
      </c>
      <c r="I504">
        <f>I145*'WK3 - Notional GI 15-16 YIELD'!$D121</f>
        <v>0</v>
      </c>
      <c r="J504">
        <f>J145*'WK3 - Notional GI 15-16 YIELD'!$D121</f>
        <v>0</v>
      </c>
      <c r="K504">
        <f>K145*'WK3 - Notional GI 15-16 YIELD'!$D121</f>
        <v>0</v>
      </c>
      <c r="L504">
        <f>L145*'WK3 - Notional GI 15-16 YIELD'!$D121</f>
        <v>0</v>
      </c>
    </row>
    <row r="505" spans="3:12" hidden="1" x14ac:dyDescent="0.2">
      <c r="C505" t="str">
        <f t="shared" ref="C505:D513" si="279">C146</f>
        <v>Special rate</v>
      </c>
      <c r="D505" t="str">
        <f t="shared" si="279"/>
        <v/>
      </c>
      <c r="G505">
        <f>G146*'WK3 - Notional GI 15-16 YIELD'!$D122</f>
        <v>0</v>
      </c>
      <c r="H505">
        <f>H146*'WK3 - Notional GI 15-16 YIELD'!$D122</f>
        <v>0</v>
      </c>
      <c r="I505">
        <f>I146*'WK3 - Notional GI 15-16 YIELD'!$D122</f>
        <v>0</v>
      </c>
      <c r="J505">
        <f>J146*'WK3 - Notional GI 15-16 YIELD'!$D122</f>
        <v>0</v>
      </c>
      <c r="K505">
        <f>K146*'WK3 - Notional GI 15-16 YIELD'!$D122</f>
        <v>0</v>
      </c>
      <c r="L505">
        <f>L146*'WK3 - Notional GI 15-16 YIELD'!$D122</f>
        <v>0</v>
      </c>
    </row>
    <row r="506" spans="3:12" hidden="1" x14ac:dyDescent="0.2">
      <c r="C506" t="str">
        <f t="shared" si="279"/>
        <v>Special rate</v>
      </c>
      <c r="D506" t="str">
        <f t="shared" si="279"/>
        <v/>
      </c>
      <c r="G506">
        <f>G147*'WK3 - Notional GI 15-16 YIELD'!$D123</f>
        <v>0</v>
      </c>
      <c r="H506">
        <f>H147*'WK3 - Notional GI 15-16 YIELD'!$D123</f>
        <v>0</v>
      </c>
      <c r="I506">
        <f>I147*'WK3 - Notional GI 15-16 YIELD'!$D123</f>
        <v>0</v>
      </c>
      <c r="J506">
        <f>J147*'WK3 - Notional GI 15-16 YIELD'!$D123</f>
        <v>0</v>
      </c>
      <c r="K506">
        <f>K147*'WK3 - Notional GI 15-16 YIELD'!$D123</f>
        <v>0</v>
      </c>
      <c r="L506">
        <f>L147*'WK3 - Notional GI 15-16 YIELD'!$D123</f>
        <v>0</v>
      </c>
    </row>
    <row r="507" spans="3:12" hidden="1" x14ac:dyDescent="0.2">
      <c r="C507" t="str">
        <f t="shared" si="279"/>
        <v>Special rate</v>
      </c>
      <c r="D507" t="str">
        <f t="shared" si="279"/>
        <v/>
      </c>
      <c r="G507">
        <f>G148*'WK3 - Notional GI 15-16 YIELD'!$D124</f>
        <v>0</v>
      </c>
      <c r="H507">
        <f>H148*'WK3 - Notional GI 15-16 YIELD'!$D124</f>
        <v>0</v>
      </c>
      <c r="I507">
        <f>I148*'WK3 - Notional GI 15-16 YIELD'!$D124</f>
        <v>0</v>
      </c>
      <c r="J507">
        <f>J148*'WK3 - Notional GI 15-16 YIELD'!$D124</f>
        <v>0</v>
      </c>
      <c r="K507">
        <f>K148*'WK3 - Notional GI 15-16 YIELD'!$D124</f>
        <v>0</v>
      </c>
      <c r="L507">
        <f>L148*'WK3 - Notional GI 15-16 YIELD'!$D124</f>
        <v>0</v>
      </c>
    </row>
    <row r="508" spans="3:12" hidden="1" x14ac:dyDescent="0.2">
      <c r="C508" t="str">
        <f t="shared" si="279"/>
        <v>Special rate</v>
      </c>
      <c r="D508" t="str">
        <f t="shared" si="279"/>
        <v/>
      </c>
      <c r="G508">
        <f>G149*'WK3 - Notional GI 15-16 YIELD'!$D125</f>
        <v>0</v>
      </c>
      <c r="H508">
        <f>H149*'WK3 - Notional GI 15-16 YIELD'!$D125</f>
        <v>0</v>
      </c>
      <c r="I508">
        <f>I149*'WK3 - Notional GI 15-16 YIELD'!$D125</f>
        <v>0</v>
      </c>
      <c r="J508">
        <f>J149*'WK3 - Notional GI 15-16 YIELD'!$D125</f>
        <v>0</v>
      </c>
      <c r="K508">
        <f>K149*'WK3 - Notional GI 15-16 YIELD'!$D125</f>
        <v>0</v>
      </c>
      <c r="L508">
        <f>L149*'WK3 - Notional GI 15-16 YIELD'!$D125</f>
        <v>0</v>
      </c>
    </row>
    <row r="509" spans="3:12" hidden="1" x14ac:dyDescent="0.2">
      <c r="C509" t="str">
        <f t="shared" si="279"/>
        <v>Special rate</v>
      </c>
      <c r="D509" t="str">
        <f t="shared" si="279"/>
        <v/>
      </c>
      <c r="G509">
        <f>G150*'WK3 - Notional GI 15-16 YIELD'!$D126</f>
        <v>0</v>
      </c>
      <c r="H509">
        <f>H150*'WK3 - Notional GI 15-16 YIELD'!$D126</f>
        <v>0</v>
      </c>
      <c r="I509">
        <f>I150*'WK3 - Notional GI 15-16 YIELD'!$D126</f>
        <v>0</v>
      </c>
      <c r="J509">
        <f>J150*'WK3 - Notional GI 15-16 YIELD'!$D126</f>
        <v>0</v>
      </c>
      <c r="K509">
        <f>K150*'WK3 - Notional GI 15-16 YIELD'!$D126</f>
        <v>0</v>
      </c>
      <c r="L509">
        <f>L150*'WK3 - Notional GI 15-16 YIELD'!$D126</f>
        <v>0</v>
      </c>
    </row>
    <row r="510" spans="3:12" hidden="1" x14ac:dyDescent="0.2">
      <c r="C510" t="str">
        <f t="shared" si="279"/>
        <v>Special rate</v>
      </c>
      <c r="D510" t="str">
        <f t="shared" si="279"/>
        <v/>
      </c>
      <c r="G510">
        <f>G151*'WK3 - Notional GI 15-16 YIELD'!$D127</f>
        <v>0</v>
      </c>
      <c r="H510">
        <f>H151*'WK3 - Notional GI 15-16 YIELD'!$D127</f>
        <v>0</v>
      </c>
      <c r="I510">
        <f>I151*'WK3 - Notional GI 15-16 YIELD'!$D127</f>
        <v>0</v>
      </c>
      <c r="J510">
        <f>J151*'WK3 - Notional GI 15-16 YIELD'!$D127</f>
        <v>0</v>
      </c>
      <c r="K510">
        <f>K151*'WK3 - Notional GI 15-16 YIELD'!$D127</f>
        <v>0</v>
      </c>
      <c r="L510">
        <f>L151*'WK3 - Notional GI 15-16 YIELD'!$D127</f>
        <v>0</v>
      </c>
    </row>
    <row r="511" spans="3:12" hidden="1" x14ac:dyDescent="0.2">
      <c r="C511" t="str">
        <f t="shared" si="279"/>
        <v>Special rate</v>
      </c>
      <c r="D511" t="str">
        <f t="shared" si="279"/>
        <v/>
      </c>
      <c r="G511">
        <f>G152*'WK3 - Notional GI 15-16 YIELD'!$D128</f>
        <v>0</v>
      </c>
      <c r="H511">
        <f>H152*'WK3 - Notional GI 15-16 YIELD'!$D128</f>
        <v>0</v>
      </c>
      <c r="I511">
        <f>I152*'WK3 - Notional GI 15-16 YIELD'!$D128</f>
        <v>0</v>
      </c>
      <c r="J511">
        <f>J152*'WK3 - Notional GI 15-16 YIELD'!$D128</f>
        <v>0</v>
      </c>
      <c r="K511">
        <f>K152*'WK3 - Notional GI 15-16 YIELD'!$D128</f>
        <v>0</v>
      </c>
      <c r="L511">
        <f>L152*'WK3 - Notional GI 15-16 YIELD'!$D128</f>
        <v>0</v>
      </c>
    </row>
    <row r="512" spans="3:12" hidden="1" x14ac:dyDescent="0.2">
      <c r="C512" t="str">
        <f t="shared" si="279"/>
        <v>Special rate</v>
      </c>
      <c r="D512" t="str">
        <f t="shared" si="279"/>
        <v/>
      </c>
      <c r="G512">
        <f>G153*'WK3 - Notional GI 15-16 YIELD'!$D129</f>
        <v>0</v>
      </c>
      <c r="H512">
        <f>H153*'WK3 - Notional GI 15-16 YIELD'!$D129</f>
        <v>0</v>
      </c>
      <c r="I512">
        <f>I153*'WK3 - Notional GI 15-16 YIELD'!$D129</f>
        <v>0</v>
      </c>
      <c r="J512">
        <f>J153*'WK3 - Notional GI 15-16 YIELD'!$D129</f>
        <v>0</v>
      </c>
      <c r="K512">
        <f>K153*'WK3 - Notional GI 15-16 YIELD'!$D129</f>
        <v>0</v>
      </c>
      <c r="L512">
        <f>L153*'WK3 - Notional GI 15-16 YIELD'!$D129</f>
        <v>0</v>
      </c>
    </row>
    <row r="513" spans="3:12" hidden="1" x14ac:dyDescent="0.2">
      <c r="C513" t="str">
        <f t="shared" si="279"/>
        <v>Special rate</v>
      </c>
      <c r="D513" t="str">
        <f t="shared" si="279"/>
        <v/>
      </c>
      <c r="G513">
        <f>G154*'WK3 - Notional GI 15-16 YIELD'!$D130</f>
        <v>0</v>
      </c>
      <c r="H513">
        <f>H154*'WK3 - Notional GI 15-16 YIELD'!$D130</f>
        <v>0</v>
      </c>
      <c r="I513">
        <f>I154*'WK3 - Notional GI 15-16 YIELD'!$D130</f>
        <v>0</v>
      </c>
      <c r="J513">
        <f>J154*'WK3 - Notional GI 15-16 YIELD'!$D130</f>
        <v>0</v>
      </c>
      <c r="K513">
        <f>K154*'WK3 - Notional GI 15-16 YIELD'!$D130</f>
        <v>0</v>
      </c>
      <c r="L513">
        <f>L154*'WK3 - Notional GI 15-16 YIELD'!$D130</f>
        <v>0</v>
      </c>
    </row>
    <row r="514" spans="3:12" s="165" customFormat="1" hidden="1" x14ac:dyDescent="0.2">
      <c r="D514" s="165" t="s">
        <v>695</v>
      </c>
      <c r="G514" s="165">
        <f t="shared" ref="G514:L514" si="280">SUM(G494:G513)</f>
        <v>1966711.3313614998</v>
      </c>
      <c r="H514" s="165">
        <f t="shared" si="280"/>
        <v>2025712.6713023451</v>
      </c>
      <c r="I514" s="165">
        <f t="shared" si="280"/>
        <v>2086484.0514414157</v>
      </c>
      <c r="J514" s="165">
        <f t="shared" si="280"/>
        <v>2149078.5729846582</v>
      </c>
      <c r="K514" s="165">
        <f t="shared" si="280"/>
        <v>2213550.930174198</v>
      </c>
      <c r="L514" s="165">
        <f t="shared" si="280"/>
        <v>2279957.4580794238</v>
      </c>
    </row>
    <row r="515" spans="3:12" hidden="1" x14ac:dyDescent="0.2">
      <c r="C515" t="str">
        <f>C156</f>
        <v>Mining</v>
      </c>
      <c r="D515" t="str">
        <f>D156</f>
        <v/>
      </c>
      <c r="G515">
        <f>G156*'WK3 - Notional GI 15-16 YIELD'!$D71</f>
        <v>0</v>
      </c>
      <c r="H515">
        <f>H156*'WK3 - Notional GI 15-16 YIELD'!$D71</f>
        <v>0</v>
      </c>
      <c r="I515">
        <f>I156*'WK3 - Notional GI 15-16 YIELD'!$D71</f>
        <v>0</v>
      </c>
      <c r="J515">
        <f>J156*'WK3 - Notional GI 15-16 YIELD'!$D71</f>
        <v>0</v>
      </c>
      <c r="K515">
        <f>K156*'WK3 - Notional GI 15-16 YIELD'!$D71</f>
        <v>0</v>
      </c>
      <c r="L515">
        <f>L156*'WK3 - Notional GI 15-16 YIELD'!$D71</f>
        <v>0</v>
      </c>
    </row>
    <row r="516" spans="3:12" hidden="1" x14ac:dyDescent="0.2">
      <c r="C516" t="str">
        <f t="shared" ref="C516:D524" si="281">C157</f>
        <v>Mining</v>
      </c>
      <c r="D516" t="str">
        <f t="shared" si="281"/>
        <v/>
      </c>
      <c r="G516">
        <f>G157*'WK3 - Notional GI 15-16 YIELD'!$D72</f>
        <v>0</v>
      </c>
      <c r="H516">
        <f>H157*'WK3 - Notional GI 15-16 YIELD'!$D72</f>
        <v>0</v>
      </c>
      <c r="I516">
        <f>I157*'WK3 - Notional GI 15-16 YIELD'!$D72</f>
        <v>0</v>
      </c>
      <c r="J516">
        <f>J157*'WK3 - Notional GI 15-16 YIELD'!$D72</f>
        <v>0</v>
      </c>
      <c r="K516">
        <f>K157*'WK3 - Notional GI 15-16 YIELD'!$D72</f>
        <v>0</v>
      </c>
      <c r="L516">
        <f>L157*'WK3 - Notional GI 15-16 YIELD'!$D72</f>
        <v>0</v>
      </c>
    </row>
    <row r="517" spans="3:12" hidden="1" x14ac:dyDescent="0.2">
      <c r="C517" t="str">
        <f t="shared" si="281"/>
        <v>Mining</v>
      </c>
      <c r="D517" t="str">
        <f t="shared" si="281"/>
        <v/>
      </c>
      <c r="G517">
        <f>G158*'WK3 - Notional GI 15-16 YIELD'!$D73</f>
        <v>0</v>
      </c>
      <c r="H517">
        <f>H158*'WK3 - Notional GI 15-16 YIELD'!$D73</f>
        <v>0</v>
      </c>
      <c r="I517">
        <f>I158*'WK3 - Notional GI 15-16 YIELD'!$D73</f>
        <v>0</v>
      </c>
      <c r="J517">
        <f>J158*'WK3 - Notional GI 15-16 YIELD'!$D73</f>
        <v>0</v>
      </c>
      <c r="K517">
        <f>K158*'WK3 - Notional GI 15-16 YIELD'!$D73</f>
        <v>0</v>
      </c>
      <c r="L517">
        <f>L158*'WK3 - Notional GI 15-16 YIELD'!$D73</f>
        <v>0</v>
      </c>
    </row>
    <row r="518" spans="3:12" hidden="1" x14ac:dyDescent="0.2">
      <c r="C518" t="str">
        <f t="shared" si="281"/>
        <v>Mining</v>
      </c>
      <c r="D518" t="str">
        <f t="shared" si="281"/>
        <v/>
      </c>
      <c r="G518">
        <f>G159*'WK3 - Notional GI 15-16 YIELD'!$D74</f>
        <v>0</v>
      </c>
      <c r="H518">
        <f>H159*'WK3 - Notional GI 15-16 YIELD'!$D74</f>
        <v>0</v>
      </c>
      <c r="I518">
        <f>I159*'WK3 - Notional GI 15-16 YIELD'!$D74</f>
        <v>0</v>
      </c>
      <c r="J518">
        <f>J159*'WK3 - Notional GI 15-16 YIELD'!$D74</f>
        <v>0</v>
      </c>
      <c r="K518">
        <f>K159*'WK3 - Notional GI 15-16 YIELD'!$D74</f>
        <v>0</v>
      </c>
      <c r="L518">
        <f>L159*'WK3 - Notional GI 15-16 YIELD'!$D74</f>
        <v>0</v>
      </c>
    </row>
    <row r="519" spans="3:12" hidden="1" x14ac:dyDescent="0.2">
      <c r="C519" t="str">
        <f t="shared" si="281"/>
        <v>Mining</v>
      </c>
      <c r="D519" t="str">
        <f t="shared" si="281"/>
        <v/>
      </c>
      <c r="G519">
        <f>G160*'WK3 - Notional GI 15-16 YIELD'!$D75</f>
        <v>0</v>
      </c>
      <c r="H519">
        <f>H160*'WK3 - Notional GI 15-16 YIELD'!$D75</f>
        <v>0</v>
      </c>
      <c r="I519">
        <f>I160*'WK3 - Notional GI 15-16 YIELD'!$D75</f>
        <v>0</v>
      </c>
      <c r="J519">
        <f>J160*'WK3 - Notional GI 15-16 YIELD'!$D75</f>
        <v>0</v>
      </c>
      <c r="K519">
        <f>K160*'WK3 - Notional GI 15-16 YIELD'!$D75</f>
        <v>0</v>
      </c>
      <c r="L519">
        <f>L160*'WK3 - Notional GI 15-16 YIELD'!$D75</f>
        <v>0</v>
      </c>
    </row>
    <row r="520" spans="3:12" hidden="1" x14ac:dyDescent="0.2">
      <c r="C520" t="str">
        <f t="shared" si="281"/>
        <v>Mining</v>
      </c>
      <c r="D520" t="str">
        <f t="shared" si="281"/>
        <v/>
      </c>
      <c r="G520">
        <f>G161*'WK3 - Notional GI 15-16 YIELD'!$D76</f>
        <v>0</v>
      </c>
      <c r="H520">
        <f>H161*'WK3 - Notional GI 15-16 YIELD'!$D76</f>
        <v>0</v>
      </c>
      <c r="I520">
        <f>I161*'WK3 - Notional GI 15-16 YIELD'!$D76</f>
        <v>0</v>
      </c>
      <c r="J520">
        <f>J161*'WK3 - Notional GI 15-16 YIELD'!$D76</f>
        <v>0</v>
      </c>
      <c r="K520">
        <f>K161*'WK3 - Notional GI 15-16 YIELD'!$D76</f>
        <v>0</v>
      </c>
      <c r="L520">
        <f>L161*'WK3 - Notional GI 15-16 YIELD'!$D76</f>
        <v>0</v>
      </c>
    </row>
    <row r="521" spans="3:12" hidden="1" x14ac:dyDescent="0.2">
      <c r="C521" t="str">
        <f t="shared" si="281"/>
        <v>Mining</v>
      </c>
      <c r="D521" t="str">
        <f t="shared" si="281"/>
        <v/>
      </c>
      <c r="G521">
        <f>G162*'WK3 - Notional GI 15-16 YIELD'!$D77</f>
        <v>0</v>
      </c>
      <c r="H521">
        <f>H162*'WK3 - Notional GI 15-16 YIELD'!$D77</f>
        <v>0</v>
      </c>
      <c r="I521">
        <f>I162*'WK3 - Notional GI 15-16 YIELD'!$D77</f>
        <v>0</v>
      </c>
      <c r="J521">
        <f>J162*'WK3 - Notional GI 15-16 YIELD'!$D77</f>
        <v>0</v>
      </c>
      <c r="K521">
        <f>K162*'WK3 - Notional GI 15-16 YIELD'!$D77</f>
        <v>0</v>
      </c>
      <c r="L521">
        <f>L162*'WK3 - Notional GI 15-16 YIELD'!$D77</f>
        <v>0</v>
      </c>
    </row>
    <row r="522" spans="3:12" hidden="1" x14ac:dyDescent="0.2">
      <c r="C522" t="str">
        <f t="shared" si="281"/>
        <v>Mining</v>
      </c>
      <c r="D522" t="str">
        <f t="shared" si="281"/>
        <v/>
      </c>
      <c r="G522">
        <f>G163*'WK3 - Notional GI 15-16 YIELD'!$D78</f>
        <v>0</v>
      </c>
      <c r="H522">
        <f>H163*'WK3 - Notional GI 15-16 YIELD'!$D78</f>
        <v>0</v>
      </c>
      <c r="I522">
        <f>I163*'WK3 - Notional GI 15-16 YIELD'!$D78</f>
        <v>0</v>
      </c>
      <c r="J522">
        <f>J163*'WK3 - Notional GI 15-16 YIELD'!$D78</f>
        <v>0</v>
      </c>
      <c r="K522">
        <f>K163*'WK3 - Notional GI 15-16 YIELD'!$D78</f>
        <v>0</v>
      </c>
      <c r="L522">
        <f>L163*'WK3 - Notional GI 15-16 YIELD'!$D78</f>
        <v>0</v>
      </c>
    </row>
    <row r="523" spans="3:12" hidden="1" x14ac:dyDescent="0.2">
      <c r="C523" t="str">
        <f t="shared" si="281"/>
        <v>Mining</v>
      </c>
      <c r="D523" t="str">
        <f t="shared" si="281"/>
        <v/>
      </c>
      <c r="G523">
        <f>G164*'WK3 - Notional GI 15-16 YIELD'!$D79</f>
        <v>0</v>
      </c>
      <c r="H523">
        <f>H164*'WK3 - Notional GI 15-16 YIELD'!$D79</f>
        <v>0</v>
      </c>
      <c r="I523">
        <f>I164*'WK3 - Notional GI 15-16 YIELD'!$D79</f>
        <v>0</v>
      </c>
      <c r="J523">
        <f>J164*'WK3 - Notional GI 15-16 YIELD'!$D79</f>
        <v>0</v>
      </c>
      <c r="K523">
        <f>K164*'WK3 - Notional GI 15-16 YIELD'!$D79</f>
        <v>0</v>
      </c>
      <c r="L523">
        <f>L164*'WK3 - Notional GI 15-16 YIELD'!$D79</f>
        <v>0</v>
      </c>
    </row>
    <row r="524" spans="3:12" hidden="1" x14ac:dyDescent="0.2">
      <c r="C524" t="str">
        <f t="shared" si="281"/>
        <v>Mining</v>
      </c>
      <c r="D524" t="str">
        <f t="shared" si="281"/>
        <v/>
      </c>
      <c r="G524">
        <f>G165*'WK3 - Notional GI 15-16 YIELD'!$D80</f>
        <v>0</v>
      </c>
      <c r="H524">
        <f>H165*'WK3 - Notional GI 15-16 YIELD'!$D80</f>
        <v>0</v>
      </c>
      <c r="I524">
        <f>I165*'WK3 - Notional GI 15-16 YIELD'!$D80</f>
        <v>0</v>
      </c>
      <c r="J524">
        <f>J165*'WK3 - Notional GI 15-16 YIELD'!$D80</f>
        <v>0</v>
      </c>
      <c r="K524">
        <f>K165*'WK3 - Notional GI 15-16 YIELD'!$D80</f>
        <v>0</v>
      </c>
      <c r="L524">
        <f>L165*'WK3 - Notional GI 15-16 YIELD'!$D80</f>
        <v>0</v>
      </c>
    </row>
    <row r="525" spans="3:12" hidden="1" x14ac:dyDescent="0.2">
      <c r="C525" t="str">
        <f>C166</f>
        <v>Special rate</v>
      </c>
      <c r="D525" t="str">
        <f>D166</f>
        <v/>
      </c>
      <c r="G525">
        <f>G166*'WK3 - Notional GI 15-16 YIELD'!$D131</f>
        <v>0</v>
      </c>
      <c r="H525">
        <f>H166*'WK3 - Notional GI 15-16 YIELD'!$D131</f>
        <v>0</v>
      </c>
      <c r="I525">
        <f>I166*'WK3 - Notional GI 15-16 YIELD'!$D131</f>
        <v>0</v>
      </c>
      <c r="J525">
        <f>J166*'WK3 - Notional GI 15-16 YIELD'!$D131</f>
        <v>0</v>
      </c>
      <c r="K525">
        <f>K166*'WK3 - Notional GI 15-16 YIELD'!$D131</f>
        <v>0</v>
      </c>
      <c r="L525">
        <f>L166*'WK3 - Notional GI 15-16 YIELD'!$D131</f>
        <v>0</v>
      </c>
    </row>
    <row r="526" spans="3:12" hidden="1" x14ac:dyDescent="0.2">
      <c r="C526" t="str">
        <f t="shared" ref="C526:D534" si="282">C167</f>
        <v>Special rate</v>
      </c>
      <c r="D526" t="str">
        <f t="shared" si="282"/>
        <v/>
      </c>
      <c r="G526">
        <f>G167*'WK3 - Notional GI 15-16 YIELD'!$D132</f>
        <v>0</v>
      </c>
      <c r="H526">
        <f>H167*'WK3 - Notional GI 15-16 YIELD'!$D132</f>
        <v>0</v>
      </c>
      <c r="I526">
        <f>I167*'WK3 - Notional GI 15-16 YIELD'!$D132</f>
        <v>0</v>
      </c>
      <c r="J526">
        <f>J167*'WK3 - Notional GI 15-16 YIELD'!$D132</f>
        <v>0</v>
      </c>
      <c r="K526">
        <f>K167*'WK3 - Notional GI 15-16 YIELD'!$D132</f>
        <v>0</v>
      </c>
      <c r="L526">
        <f>L167*'WK3 - Notional GI 15-16 YIELD'!$D132</f>
        <v>0</v>
      </c>
    </row>
    <row r="527" spans="3:12" hidden="1" x14ac:dyDescent="0.2">
      <c r="C527" t="str">
        <f t="shared" si="282"/>
        <v>Special rate</v>
      </c>
      <c r="D527" t="str">
        <f t="shared" si="282"/>
        <v/>
      </c>
      <c r="G527">
        <f>G168*'WK3 - Notional GI 15-16 YIELD'!$D133</f>
        <v>0</v>
      </c>
      <c r="H527">
        <f>H168*'WK3 - Notional GI 15-16 YIELD'!$D133</f>
        <v>0</v>
      </c>
      <c r="I527">
        <f>I168*'WK3 - Notional GI 15-16 YIELD'!$D133</f>
        <v>0</v>
      </c>
      <c r="J527">
        <f>J168*'WK3 - Notional GI 15-16 YIELD'!$D133</f>
        <v>0</v>
      </c>
      <c r="K527">
        <f>K168*'WK3 - Notional GI 15-16 YIELD'!$D133</f>
        <v>0</v>
      </c>
      <c r="L527">
        <f>L168*'WK3 - Notional GI 15-16 YIELD'!$D133</f>
        <v>0</v>
      </c>
    </row>
    <row r="528" spans="3:12" hidden="1" x14ac:dyDescent="0.2">
      <c r="C528" t="str">
        <f t="shared" si="282"/>
        <v>Special rate</v>
      </c>
      <c r="D528" t="str">
        <f t="shared" si="282"/>
        <v/>
      </c>
      <c r="G528">
        <f>G169*'WK3 - Notional GI 15-16 YIELD'!$D134</f>
        <v>0</v>
      </c>
      <c r="H528">
        <f>H169*'WK3 - Notional GI 15-16 YIELD'!$D134</f>
        <v>0</v>
      </c>
      <c r="I528">
        <f>I169*'WK3 - Notional GI 15-16 YIELD'!$D134</f>
        <v>0</v>
      </c>
      <c r="J528">
        <f>J169*'WK3 - Notional GI 15-16 YIELD'!$D134</f>
        <v>0</v>
      </c>
      <c r="K528">
        <f>K169*'WK3 - Notional GI 15-16 YIELD'!$D134</f>
        <v>0</v>
      </c>
      <c r="L528">
        <f>L169*'WK3 - Notional GI 15-16 YIELD'!$D134</f>
        <v>0</v>
      </c>
    </row>
    <row r="529" spans="2:12" hidden="1" x14ac:dyDescent="0.2">
      <c r="C529" t="str">
        <f t="shared" si="282"/>
        <v>Special rate</v>
      </c>
      <c r="D529" t="str">
        <f t="shared" si="282"/>
        <v/>
      </c>
      <c r="G529">
        <f>G170*'WK3 - Notional GI 15-16 YIELD'!$D135</f>
        <v>0</v>
      </c>
      <c r="H529">
        <f>H170*'WK3 - Notional GI 15-16 YIELD'!$D135</f>
        <v>0</v>
      </c>
      <c r="I529">
        <f>I170*'WK3 - Notional GI 15-16 YIELD'!$D135</f>
        <v>0</v>
      </c>
      <c r="J529">
        <f>J170*'WK3 - Notional GI 15-16 YIELD'!$D135</f>
        <v>0</v>
      </c>
      <c r="K529">
        <f>K170*'WK3 - Notional GI 15-16 YIELD'!$D135</f>
        <v>0</v>
      </c>
      <c r="L529">
        <f>L170*'WK3 - Notional GI 15-16 YIELD'!$D135</f>
        <v>0</v>
      </c>
    </row>
    <row r="530" spans="2:12" hidden="1" x14ac:dyDescent="0.2">
      <c r="C530" t="str">
        <f t="shared" si="282"/>
        <v>Special rate</v>
      </c>
      <c r="D530" t="str">
        <f t="shared" si="282"/>
        <v/>
      </c>
      <c r="G530">
        <f>G171*'WK3 - Notional GI 15-16 YIELD'!$D136</f>
        <v>0</v>
      </c>
      <c r="H530">
        <f>H171*'WK3 - Notional GI 15-16 YIELD'!$D136</f>
        <v>0</v>
      </c>
      <c r="I530">
        <f>I171*'WK3 - Notional GI 15-16 YIELD'!$D136</f>
        <v>0</v>
      </c>
      <c r="J530">
        <f>J171*'WK3 - Notional GI 15-16 YIELD'!$D136</f>
        <v>0</v>
      </c>
      <c r="K530">
        <f>K171*'WK3 - Notional GI 15-16 YIELD'!$D136</f>
        <v>0</v>
      </c>
      <c r="L530">
        <f>L171*'WK3 - Notional GI 15-16 YIELD'!$D136</f>
        <v>0</v>
      </c>
    </row>
    <row r="531" spans="2:12" hidden="1" x14ac:dyDescent="0.2">
      <c r="C531" t="str">
        <f t="shared" si="282"/>
        <v>Special rate</v>
      </c>
      <c r="D531" t="str">
        <f t="shared" si="282"/>
        <v/>
      </c>
      <c r="G531">
        <f>G172*'WK3 - Notional GI 15-16 YIELD'!$D137</f>
        <v>0</v>
      </c>
      <c r="H531">
        <f>H172*'WK3 - Notional GI 15-16 YIELD'!$D137</f>
        <v>0</v>
      </c>
      <c r="I531">
        <f>I172*'WK3 - Notional GI 15-16 YIELD'!$D137</f>
        <v>0</v>
      </c>
      <c r="J531">
        <f>J172*'WK3 - Notional GI 15-16 YIELD'!$D137</f>
        <v>0</v>
      </c>
      <c r="K531">
        <f>K172*'WK3 - Notional GI 15-16 YIELD'!$D137</f>
        <v>0</v>
      </c>
      <c r="L531">
        <f>L172*'WK3 - Notional GI 15-16 YIELD'!$D137</f>
        <v>0</v>
      </c>
    </row>
    <row r="532" spans="2:12" hidden="1" x14ac:dyDescent="0.2">
      <c r="C532" t="str">
        <f t="shared" si="282"/>
        <v>Special rate</v>
      </c>
      <c r="D532" t="str">
        <f t="shared" si="282"/>
        <v/>
      </c>
      <c r="G532">
        <f>G173*'WK3 - Notional GI 15-16 YIELD'!$D138</f>
        <v>0</v>
      </c>
      <c r="H532">
        <f>H173*'WK3 - Notional GI 15-16 YIELD'!$D138</f>
        <v>0</v>
      </c>
      <c r="I532">
        <f>I173*'WK3 - Notional GI 15-16 YIELD'!$D138</f>
        <v>0</v>
      </c>
      <c r="J532">
        <f>J173*'WK3 - Notional GI 15-16 YIELD'!$D138</f>
        <v>0</v>
      </c>
      <c r="K532">
        <f>K173*'WK3 - Notional GI 15-16 YIELD'!$D138</f>
        <v>0</v>
      </c>
      <c r="L532">
        <f>L173*'WK3 - Notional GI 15-16 YIELD'!$D138</f>
        <v>0</v>
      </c>
    </row>
    <row r="533" spans="2:12" hidden="1" x14ac:dyDescent="0.2">
      <c r="C533" t="str">
        <f t="shared" si="282"/>
        <v>Special rate</v>
      </c>
      <c r="D533" t="str">
        <f t="shared" si="282"/>
        <v/>
      </c>
      <c r="G533">
        <f>G174*'WK3 - Notional GI 15-16 YIELD'!$D139</f>
        <v>0</v>
      </c>
      <c r="H533">
        <f>H174*'WK3 - Notional GI 15-16 YIELD'!$D139</f>
        <v>0</v>
      </c>
      <c r="I533">
        <f>I174*'WK3 - Notional GI 15-16 YIELD'!$D139</f>
        <v>0</v>
      </c>
      <c r="J533">
        <f>J174*'WK3 - Notional GI 15-16 YIELD'!$D139</f>
        <v>0</v>
      </c>
      <c r="K533">
        <f>K174*'WK3 - Notional GI 15-16 YIELD'!$D139</f>
        <v>0</v>
      </c>
      <c r="L533">
        <f>L174*'WK3 - Notional GI 15-16 YIELD'!$D139</f>
        <v>0</v>
      </c>
    </row>
    <row r="534" spans="2:12" hidden="1" x14ac:dyDescent="0.2">
      <c r="C534" t="str">
        <f t="shared" si="282"/>
        <v>Special rate</v>
      </c>
      <c r="D534" t="str">
        <f t="shared" si="282"/>
        <v/>
      </c>
      <c r="G534">
        <f>G175*'WK3 - Notional GI 15-16 YIELD'!$D140</f>
        <v>0</v>
      </c>
      <c r="H534">
        <f>H175*'WK3 - Notional GI 15-16 YIELD'!$D140</f>
        <v>0</v>
      </c>
      <c r="I534">
        <f>I175*'WK3 - Notional GI 15-16 YIELD'!$D140</f>
        <v>0</v>
      </c>
      <c r="J534">
        <f>J175*'WK3 - Notional GI 15-16 YIELD'!$D140</f>
        <v>0</v>
      </c>
      <c r="K534">
        <f>K175*'WK3 - Notional GI 15-16 YIELD'!$D140</f>
        <v>0</v>
      </c>
      <c r="L534">
        <f>L175*'WK3 - Notional GI 15-16 YIELD'!$D140</f>
        <v>0</v>
      </c>
    </row>
    <row r="535" spans="2:12" s="165" customFormat="1" hidden="1" x14ac:dyDescent="0.2">
      <c r="D535" s="165" t="s">
        <v>696</v>
      </c>
      <c r="G535" s="165">
        <f t="shared" ref="G535:L535" si="283">SUM(G515:G534)</f>
        <v>0</v>
      </c>
      <c r="H535" s="165">
        <f t="shared" si="283"/>
        <v>0</v>
      </c>
      <c r="I535" s="165">
        <f t="shared" si="283"/>
        <v>0</v>
      </c>
      <c r="J535" s="165">
        <f t="shared" si="283"/>
        <v>0</v>
      </c>
      <c r="K535" s="165">
        <f t="shared" si="283"/>
        <v>0</v>
      </c>
      <c r="L535" s="165">
        <f t="shared" si="283"/>
        <v>0</v>
      </c>
    </row>
    <row r="536" spans="2:12" hidden="1" x14ac:dyDescent="0.2"/>
    <row r="537" spans="2:12" hidden="1" x14ac:dyDescent="0.2">
      <c r="B537" s="166" t="s">
        <v>652</v>
      </c>
    </row>
    <row r="538" spans="2:12" hidden="1" x14ac:dyDescent="0.2">
      <c r="E538" s="531" t="str">
        <f t="shared" ref="E538:L538" si="284">E416</f>
        <v>2014/15</v>
      </c>
      <c r="F538" s="531" t="str">
        <f t="shared" si="284"/>
        <v>2015/16</v>
      </c>
      <c r="G538" s="531" t="str">
        <f t="shared" si="284"/>
        <v>2016/17</v>
      </c>
      <c r="H538" s="531" t="str">
        <f t="shared" si="284"/>
        <v>2017/18</v>
      </c>
      <c r="I538" s="531" t="str">
        <f t="shared" si="284"/>
        <v>2018/19</v>
      </c>
      <c r="J538" s="531" t="str">
        <f t="shared" si="284"/>
        <v>2019/20</v>
      </c>
      <c r="K538" s="531" t="str">
        <f t="shared" si="284"/>
        <v>2020/21</v>
      </c>
      <c r="L538" s="531" t="str">
        <f t="shared" si="284"/>
        <v>2021/22</v>
      </c>
    </row>
    <row r="539" spans="2:12" hidden="1" x14ac:dyDescent="0.2">
      <c r="C539" t="str">
        <f>C182</f>
        <v>Category</v>
      </c>
      <c r="D539" t="str">
        <f>D182</f>
        <v>Sub-category or Special Rate name</v>
      </c>
    </row>
    <row r="540" spans="2:12" hidden="1" x14ac:dyDescent="0.2"/>
    <row r="541" spans="2:12" hidden="1" x14ac:dyDescent="0.2">
      <c r="C541" t="str">
        <f t="shared" ref="C541:D568" si="285">C184</f>
        <v>Residential</v>
      </c>
      <c r="D541" t="str">
        <f t="shared" si="285"/>
        <v/>
      </c>
      <c r="F541">
        <f>F184*'WK3 - Notional GI 15-16 YIELD'!$D13</f>
        <v>51042044.274314702</v>
      </c>
      <c r="G541">
        <f>G184*'WK3 - Notional GI 15-16 YIELD'!$D13</f>
        <v>52573305.602544144</v>
      </c>
      <c r="H541">
        <f>H184*'WK3 - Notional GI 15-16 YIELD'!$D13</f>
        <v>54150504.770620465</v>
      </c>
      <c r="I541">
        <f>I184*'WK3 - Notional GI 15-16 YIELD'!$D13</f>
        <v>55775019.913739078</v>
      </c>
      <c r="J541">
        <f>J184*'WK3 - Notional GI 15-16 YIELD'!$D13</f>
        <v>57448270.511151262</v>
      </c>
      <c r="K541">
        <f>K184*'WK3 - Notional GI 15-16 YIELD'!$D13</f>
        <v>59171718.626485795</v>
      </c>
      <c r="L541">
        <f>L184*'WK3 - Notional GI 15-16 YIELD'!$D13</f>
        <v>60946870.185280375</v>
      </c>
    </row>
    <row r="542" spans="2:12" hidden="1" x14ac:dyDescent="0.2">
      <c r="C542" t="str">
        <f t="shared" si="285"/>
        <v>Residential</v>
      </c>
      <c r="D542" t="str">
        <f t="shared" ref="D542:D560" si="286">D185</f>
        <v>Non Urban</v>
      </c>
      <c r="F542">
        <f>F185*'WK3 - Notional GI 15-16 YIELD'!$D14</f>
        <v>75727.125919999991</v>
      </c>
      <c r="G542">
        <f>G185*'WK3 - Notional GI 15-16 YIELD'!$D14</f>
        <v>77998.939697599999</v>
      </c>
      <c r="H542">
        <f>H185*'WK3 - Notional GI 15-16 YIELD'!$D14</f>
        <v>80338.907888528003</v>
      </c>
      <c r="I542">
        <f>I185*'WK3 - Notional GI 15-16 YIELD'!$D14</f>
        <v>82749.075125183837</v>
      </c>
      <c r="J542">
        <f>J185*'WK3 - Notional GI 15-16 YIELD'!$D14</f>
        <v>85231.547378939358</v>
      </c>
      <c r="K542">
        <f>K185*'WK3 - Notional GI 15-16 YIELD'!$D14</f>
        <v>87788.493800307537</v>
      </c>
      <c r="L542">
        <f>L185*'WK3 - Notional GI 15-16 YIELD'!$D14</f>
        <v>90422.148614316771</v>
      </c>
    </row>
    <row r="543" spans="2:12" hidden="1" x14ac:dyDescent="0.2">
      <c r="C543" t="str">
        <f t="shared" si="285"/>
        <v>Residential</v>
      </c>
      <c r="D543" t="str">
        <f t="shared" si="286"/>
        <v/>
      </c>
      <c r="F543">
        <f>F186*'WK3 - Notional GI 15-16 YIELD'!$D15</f>
        <v>0</v>
      </c>
      <c r="G543">
        <f>G186*'WK3 - Notional GI 15-16 YIELD'!$D15</f>
        <v>0</v>
      </c>
      <c r="H543">
        <f>H186*'WK3 - Notional GI 15-16 YIELD'!$D15</f>
        <v>0</v>
      </c>
      <c r="I543">
        <f>I186*'WK3 - Notional GI 15-16 YIELD'!$D15</f>
        <v>0</v>
      </c>
      <c r="J543">
        <f>J186*'WK3 - Notional GI 15-16 YIELD'!$D15</f>
        <v>0</v>
      </c>
      <c r="K543">
        <f>K186*'WK3 - Notional GI 15-16 YIELD'!$D15</f>
        <v>0</v>
      </c>
      <c r="L543">
        <f>L186*'WK3 - Notional GI 15-16 YIELD'!$D15</f>
        <v>0</v>
      </c>
    </row>
    <row r="544" spans="2:12" hidden="1" x14ac:dyDescent="0.2">
      <c r="C544" t="str">
        <f t="shared" si="285"/>
        <v>Residential</v>
      </c>
      <c r="D544" t="str">
        <f t="shared" si="286"/>
        <v/>
      </c>
      <c r="F544">
        <f>F187*'WK3 - Notional GI 15-16 YIELD'!$D16</f>
        <v>0</v>
      </c>
      <c r="G544">
        <f>G187*'WK3 - Notional GI 15-16 YIELD'!$D16</f>
        <v>0</v>
      </c>
      <c r="H544">
        <f>H187*'WK3 - Notional GI 15-16 YIELD'!$D16</f>
        <v>0</v>
      </c>
      <c r="I544">
        <f>I187*'WK3 - Notional GI 15-16 YIELD'!$D16</f>
        <v>0</v>
      </c>
      <c r="J544">
        <f>J187*'WK3 - Notional GI 15-16 YIELD'!$D16</f>
        <v>0</v>
      </c>
      <c r="K544">
        <f>K187*'WK3 - Notional GI 15-16 YIELD'!$D16</f>
        <v>0</v>
      </c>
      <c r="L544">
        <f>L187*'WK3 - Notional GI 15-16 YIELD'!$D16</f>
        <v>0</v>
      </c>
    </row>
    <row r="545" spans="3:12" hidden="1" x14ac:dyDescent="0.2">
      <c r="C545" t="str">
        <f t="shared" si="285"/>
        <v>Residential</v>
      </c>
      <c r="D545" t="str">
        <f t="shared" si="286"/>
        <v/>
      </c>
      <c r="F545">
        <f>F188*'WK3 - Notional GI 15-16 YIELD'!$D17</f>
        <v>0</v>
      </c>
      <c r="G545">
        <f>G188*'WK3 - Notional GI 15-16 YIELD'!$D17</f>
        <v>0</v>
      </c>
      <c r="H545">
        <f>H188*'WK3 - Notional GI 15-16 YIELD'!$D17</f>
        <v>0</v>
      </c>
      <c r="I545">
        <f>I188*'WK3 - Notional GI 15-16 YIELD'!$D17</f>
        <v>0</v>
      </c>
      <c r="J545">
        <f>J188*'WK3 - Notional GI 15-16 YIELD'!$D17</f>
        <v>0</v>
      </c>
      <c r="K545">
        <f>K188*'WK3 - Notional GI 15-16 YIELD'!$D17</f>
        <v>0</v>
      </c>
      <c r="L545">
        <f>L188*'WK3 - Notional GI 15-16 YIELD'!$D17</f>
        <v>0</v>
      </c>
    </row>
    <row r="546" spans="3:12" hidden="1" x14ac:dyDescent="0.2">
      <c r="C546" t="str">
        <f t="shared" si="285"/>
        <v>Residential</v>
      </c>
      <c r="D546" t="str">
        <f t="shared" si="286"/>
        <v/>
      </c>
      <c r="F546">
        <f>F189*'WK3 - Notional GI 15-16 YIELD'!$D18</f>
        <v>0</v>
      </c>
      <c r="G546">
        <f>G189*'WK3 - Notional GI 15-16 YIELD'!$D18</f>
        <v>0</v>
      </c>
      <c r="H546">
        <f>H189*'WK3 - Notional GI 15-16 YIELD'!$D18</f>
        <v>0</v>
      </c>
      <c r="I546">
        <f>I189*'WK3 - Notional GI 15-16 YIELD'!$D18</f>
        <v>0</v>
      </c>
      <c r="J546">
        <f>J189*'WK3 - Notional GI 15-16 YIELD'!$D18</f>
        <v>0</v>
      </c>
      <c r="K546">
        <f>K189*'WK3 - Notional GI 15-16 YIELD'!$D18</f>
        <v>0</v>
      </c>
      <c r="L546">
        <f>L189*'WK3 - Notional GI 15-16 YIELD'!$D18</f>
        <v>0</v>
      </c>
    </row>
    <row r="547" spans="3:12" hidden="1" x14ac:dyDescent="0.2">
      <c r="C547" t="str">
        <f t="shared" si="285"/>
        <v>Residential</v>
      </c>
      <c r="D547" t="str">
        <f t="shared" si="286"/>
        <v/>
      </c>
      <c r="F547">
        <f>F190*'WK3 - Notional GI 15-16 YIELD'!$D19</f>
        <v>0</v>
      </c>
      <c r="G547">
        <f>G190*'WK3 - Notional GI 15-16 YIELD'!$D19</f>
        <v>0</v>
      </c>
      <c r="H547">
        <f>H190*'WK3 - Notional GI 15-16 YIELD'!$D19</f>
        <v>0</v>
      </c>
      <c r="I547">
        <f>I190*'WK3 - Notional GI 15-16 YIELD'!$D19</f>
        <v>0</v>
      </c>
      <c r="J547">
        <f>J190*'WK3 - Notional GI 15-16 YIELD'!$D19</f>
        <v>0</v>
      </c>
      <c r="K547">
        <f>K190*'WK3 - Notional GI 15-16 YIELD'!$D19</f>
        <v>0</v>
      </c>
      <c r="L547">
        <f>L190*'WK3 - Notional GI 15-16 YIELD'!$D19</f>
        <v>0</v>
      </c>
    </row>
    <row r="548" spans="3:12" hidden="1" x14ac:dyDescent="0.2">
      <c r="C548" t="str">
        <f t="shared" si="285"/>
        <v>Residential</v>
      </c>
      <c r="D548" t="str">
        <f t="shared" si="286"/>
        <v/>
      </c>
      <c r="F548">
        <f>F191*'WK3 - Notional GI 15-16 YIELD'!$D20</f>
        <v>0</v>
      </c>
      <c r="G548">
        <f>G191*'WK3 - Notional GI 15-16 YIELD'!$D20</f>
        <v>0</v>
      </c>
      <c r="H548">
        <f>H191*'WK3 - Notional GI 15-16 YIELD'!$D20</f>
        <v>0</v>
      </c>
      <c r="I548">
        <f>I191*'WK3 - Notional GI 15-16 YIELD'!$D20</f>
        <v>0</v>
      </c>
      <c r="J548">
        <f>J191*'WK3 - Notional GI 15-16 YIELD'!$D20</f>
        <v>0</v>
      </c>
      <c r="K548">
        <f>K191*'WK3 - Notional GI 15-16 YIELD'!$D20</f>
        <v>0</v>
      </c>
      <c r="L548">
        <f>L191*'WK3 - Notional GI 15-16 YIELD'!$D20</f>
        <v>0</v>
      </c>
    </row>
    <row r="549" spans="3:12" hidden="1" x14ac:dyDescent="0.2">
      <c r="C549" t="str">
        <f t="shared" si="285"/>
        <v>Residential</v>
      </c>
      <c r="D549" t="str">
        <f t="shared" si="286"/>
        <v/>
      </c>
      <c r="F549">
        <f>F192*'WK3 - Notional GI 15-16 YIELD'!$D21</f>
        <v>0</v>
      </c>
      <c r="G549">
        <f>G192*'WK3 - Notional GI 15-16 YIELD'!$D21</f>
        <v>0</v>
      </c>
      <c r="H549">
        <f>H192*'WK3 - Notional GI 15-16 YIELD'!$D21</f>
        <v>0</v>
      </c>
      <c r="I549">
        <f>I192*'WK3 - Notional GI 15-16 YIELD'!$D21</f>
        <v>0</v>
      </c>
      <c r="J549">
        <f>J192*'WK3 - Notional GI 15-16 YIELD'!$D21</f>
        <v>0</v>
      </c>
      <c r="K549">
        <f>K192*'WK3 - Notional GI 15-16 YIELD'!$D21</f>
        <v>0</v>
      </c>
      <c r="L549">
        <f>L192*'WK3 - Notional GI 15-16 YIELD'!$D21</f>
        <v>0</v>
      </c>
    </row>
    <row r="550" spans="3:12" hidden="1" x14ac:dyDescent="0.2">
      <c r="C550" t="str">
        <f t="shared" si="285"/>
        <v>Residential</v>
      </c>
      <c r="D550" t="str">
        <f t="shared" si="286"/>
        <v/>
      </c>
      <c r="F550">
        <f>F193*'WK3 - Notional GI 15-16 YIELD'!$D22</f>
        <v>0</v>
      </c>
      <c r="G550">
        <f>G193*'WK3 - Notional GI 15-16 YIELD'!$D22</f>
        <v>0</v>
      </c>
      <c r="H550">
        <f>H193*'WK3 - Notional GI 15-16 YIELD'!$D22</f>
        <v>0</v>
      </c>
      <c r="I550">
        <f>I193*'WK3 - Notional GI 15-16 YIELD'!$D22</f>
        <v>0</v>
      </c>
      <c r="J550">
        <f>J193*'WK3 - Notional GI 15-16 YIELD'!$D22</f>
        <v>0</v>
      </c>
      <c r="K550">
        <f>K193*'WK3 - Notional GI 15-16 YIELD'!$D22</f>
        <v>0</v>
      </c>
      <c r="L550">
        <f>L193*'WK3 - Notional GI 15-16 YIELD'!$D22</f>
        <v>0</v>
      </c>
    </row>
    <row r="551" spans="3:12" hidden="1" x14ac:dyDescent="0.2">
      <c r="C551" t="str">
        <f t="shared" si="285"/>
        <v>Residential</v>
      </c>
      <c r="D551" t="str">
        <f t="shared" si="286"/>
        <v/>
      </c>
      <c r="F551">
        <f>F194*'WK3 - Notional GI 15-16 YIELD'!$D23</f>
        <v>0</v>
      </c>
      <c r="G551">
        <f>G194*'WK3 - Notional GI 15-16 YIELD'!$D23</f>
        <v>0</v>
      </c>
      <c r="H551">
        <f>H194*'WK3 - Notional GI 15-16 YIELD'!$D23</f>
        <v>0</v>
      </c>
      <c r="I551">
        <f>I194*'WK3 - Notional GI 15-16 YIELD'!$D23</f>
        <v>0</v>
      </c>
      <c r="J551">
        <f>J194*'WK3 - Notional GI 15-16 YIELD'!$D23</f>
        <v>0</v>
      </c>
      <c r="K551">
        <f>K194*'WK3 - Notional GI 15-16 YIELD'!$D23</f>
        <v>0</v>
      </c>
      <c r="L551">
        <f>L194*'WK3 - Notional GI 15-16 YIELD'!$D23</f>
        <v>0</v>
      </c>
    </row>
    <row r="552" spans="3:12" hidden="1" x14ac:dyDescent="0.2">
      <c r="C552" t="str">
        <f t="shared" si="285"/>
        <v>Residential</v>
      </c>
      <c r="D552" t="str">
        <f t="shared" si="286"/>
        <v/>
      </c>
      <c r="F552">
        <f>F195*'WK3 - Notional GI 15-16 YIELD'!$D24</f>
        <v>0</v>
      </c>
      <c r="G552">
        <f>G195*'WK3 - Notional GI 15-16 YIELD'!$D24</f>
        <v>0</v>
      </c>
      <c r="H552">
        <f>H195*'WK3 - Notional GI 15-16 YIELD'!$D24</f>
        <v>0</v>
      </c>
      <c r="I552">
        <f>I195*'WK3 - Notional GI 15-16 YIELD'!$D24</f>
        <v>0</v>
      </c>
      <c r="J552">
        <f>J195*'WK3 - Notional GI 15-16 YIELD'!$D24</f>
        <v>0</v>
      </c>
      <c r="K552">
        <f>K195*'WK3 - Notional GI 15-16 YIELD'!$D24</f>
        <v>0</v>
      </c>
      <c r="L552">
        <f>L195*'WK3 - Notional GI 15-16 YIELD'!$D24</f>
        <v>0</v>
      </c>
    </row>
    <row r="553" spans="3:12" hidden="1" x14ac:dyDescent="0.2">
      <c r="C553" t="str">
        <f t="shared" si="285"/>
        <v>Residential</v>
      </c>
      <c r="D553" t="str">
        <f t="shared" si="286"/>
        <v/>
      </c>
      <c r="F553">
        <f>F196*'WK3 - Notional GI 15-16 YIELD'!$D25</f>
        <v>0</v>
      </c>
      <c r="G553">
        <f>G196*'WK3 - Notional GI 15-16 YIELD'!$D25</f>
        <v>0</v>
      </c>
      <c r="H553">
        <f>H196*'WK3 - Notional GI 15-16 YIELD'!$D25</f>
        <v>0</v>
      </c>
      <c r="I553">
        <f>I196*'WK3 - Notional GI 15-16 YIELD'!$D25</f>
        <v>0</v>
      </c>
      <c r="J553">
        <f>J196*'WK3 - Notional GI 15-16 YIELD'!$D25</f>
        <v>0</v>
      </c>
      <c r="K553">
        <f>K196*'WK3 - Notional GI 15-16 YIELD'!$D25</f>
        <v>0</v>
      </c>
      <c r="L553">
        <f>L196*'WK3 - Notional GI 15-16 YIELD'!$D25</f>
        <v>0</v>
      </c>
    </row>
    <row r="554" spans="3:12" hidden="1" x14ac:dyDescent="0.2">
      <c r="C554" t="str">
        <f t="shared" si="285"/>
        <v>Residential</v>
      </c>
      <c r="D554" t="str">
        <f t="shared" si="286"/>
        <v/>
      </c>
      <c r="F554">
        <f>F197*'WK3 - Notional GI 15-16 YIELD'!$D26</f>
        <v>0</v>
      </c>
      <c r="G554">
        <f>G197*'WK3 - Notional GI 15-16 YIELD'!$D26</f>
        <v>0</v>
      </c>
      <c r="H554">
        <f>H197*'WK3 - Notional GI 15-16 YIELD'!$D26</f>
        <v>0</v>
      </c>
      <c r="I554">
        <f>I197*'WK3 - Notional GI 15-16 YIELD'!$D26</f>
        <v>0</v>
      </c>
      <c r="J554">
        <f>J197*'WK3 - Notional GI 15-16 YIELD'!$D26</f>
        <v>0</v>
      </c>
      <c r="K554">
        <f>K197*'WK3 - Notional GI 15-16 YIELD'!$D26</f>
        <v>0</v>
      </c>
      <c r="L554">
        <f>L197*'WK3 - Notional GI 15-16 YIELD'!$D26</f>
        <v>0</v>
      </c>
    </row>
    <row r="555" spans="3:12" hidden="1" x14ac:dyDescent="0.2">
      <c r="C555" t="str">
        <f t="shared" si="285"/>
        <v>Residential</v>
      </c>
      <c r="D555" t="str">
        <f t="shared" si="286"/>
        <v/>
      </c>
      <c r="F555">
        <f>F198*'WK3 - Notional GI 15-16 YIELD'!$D27</f>
        <v>0</v>
      </c>
      <c r="G555">
        <f>G198*'WK3 - Notional GI 15-16 YIELD'!$D27</f>
        <v>0</v>
      </c>
      <c r="H555">
        <f>H198*'WK3 - Notional GI 15-16 YIELD'!$D27</f>
        <v>0</v>
      </c>
      <c r="I555">
        <f>I198*'WK3 - Notional GI 15-16 YIELD'!$D27</f>
        <v>0</v>
      </c>
      <c r="J555">
        <f>J198*'WK3 - Notional GI 15-16 YIELD'!$D27</f>
        <v>0</v>
      </c>
      <c r="K555">
        <f>K198*'WK3 - Notional GI 15-16 YIELD'!$D27</f>
        <v>0</v>
      </c>
      <c r="L555">
        <f>L198*'WK3 - Notional GI 15-16 YIELD'!$D27</f>
        <v>0</v>
      </c>
    </row>
    <row r="556" spans="3:12" hidden="1" x14ac:dyDescent="0.2">
      <c r="C556" t="str">
        <f t="shared" si="285"/>
        <v>Residential</v>
      </c>
      <c r="D556" t="str">
        <f t="shared" si="286"/>
        <v/>
      </c>
      <c r="F556">
        <f>F199*'WK3 - Notional GI 15-16 YIELD'!$D28</f>
        <v>0</v>
      </c>
      <c r="G556">
        <f>G199*'WK3 - Notional GI 15-16 YIELD'!$D28</f>
        <v>0</v>
      </c>
      <c r="H556">
        <f>H199*'WK3 - Notional GI 15-16 YIELD'!$D28</f>
        <v>0</v>
      </c>
      <c r="I556">
        <f>I199*'WK3 - Notional GI 15-16 YIELD'!$D28</f>
        <v>0</v>
      </c>
      <c r="J556">
        <f>J199*'WK3 - Notional GI 15-16 YIELD'!$D28</f>
        <v>0</v>
      </c>
      <c r="K556">
        <f>K199*'WK3 - Notional GI 15-16 YIELD'!$D28</f>
        <v>0</v>
      </c>
      <c r="L556">
        <f>L199*'WK3 - Notional GI 15-16 YIELD'!$D28</f>
        <v>0</v>
      </c>
    </row>
    <row r="557" spans="3:12" hidden="1" x14ac:dyDescent="0.2">
      <c r="C557" t="str">
        <f t="shared" si="285"/>
        <v>Residential</v>
      </c>
      <c r="D557" t="str">
        <f t="shared" si="286"/>
        <v/>
      </c>
      <c r="F557">
        <f>F200*'WK3 - Notional GI 15-16 YIELD'!$D29</f>
        <v>0</v>
      </c>
      <c r="G557">
        <f>G200*'WK3 - Notional GI 15-16 YIELD'!$D29</f>
        <v>0</v>
      </c>
      <c r="H557">
        <f>H200*'WK3 - Notional GI 15-16 YIELD'!$D29</f>
        <v>0</v>
      </c>
      <c r="I557">
        <f>I200*'WK3 - Notional GI 15-16 YIELD'!$D29</f>
        <v>0</v>
      </c>
      <c r="J557">
        <f>J200*'WK3 - Notional GI 15-16 YIELD'!$D29</f>
        <v>0</v>
      </c>
      <c r="K557">
        <f>K200*'WK3 - Notional GI 15-16 YIELD'!$D29</f>
        <v>0</v>
      </c>
      <c r="L557">
        <f>L200*'WK3 - Notional GI 15-16 YIELD'!$D29</f>
        <v>0</v>
      </c>
    </row>
    <row r="558" spans="3:12" hidden="1" x14ac:dyDescent="0.2">
      <c r="C558" t="str">
        <f t="shared" si="285"/>
        <v>Residential</v>
      </c>
      <c r="D558" t="str">
        <f t="shared" si="286"/>
        <v/>
      </c>
      <c r="F558">
        <f>F201*'WK3 - Notional GI 15-16 YIELD'!$D30</f>
        <v>0</v>
      </c>
      <c r="G558">
        <f>G201*'WK3 - Notional GI 15-16 YIELD'!$D30</f>
        <v>0</v>
      </c>
      <c r="H558">
        <f>H201*'WK3 - Notional GI 15-16 YIELD'!$D30</f>
        <v>0</v>
      </c>
      <c r="I558">
        <f>I201*'WK3 - Notional GI 15-16 YIELD'!$D30</f>
        <v>0</v>
      </c>
      <c r="J558">
        <f>J201*'WK3 - Notional GI 15-16 YIELD'!$D30</f>
        <v>0</v>
      </c>
      <c r="K558">
        <f>K201*'WK3 - Notional GI 15-16 YIELD'!$D30</f>
        <v>0</v>
      </c>
      <c r="L558">
        <f>L201*'WK3 - Notional GI 15-16 YIELD'!$D30</f>
        <v>0</v>
      </c>
    </row>
    <row r="559" spans="3:12" hidden="1" x14ac:dyDescent="0.2">
      <c r="C559" t="str">
        <f t="shared" si="285"/>
        <v>Residential</v>
      </c>
      <c r="D559" t="str">
        <f t="shared" si="286"/>
        <v/>
      </c>
      <c r="F559">
        <f>F202*'WK3 - Notional GI 15-16 YIELD'!$D31</f>
        <v>0</v>
      </c>
      <c r="G559">
        <f>G202*'WK3 - Notional GI 15-16 YIELD'!$D31</f>
        <v>0</v>
      </c>
      <c r="H559">
        <f>H202*'WK3 - Notional GI 15-16 YIELD'!$D31</f>
        <v>0</v>
      </c>
      <c r="I559">
        <f>I202*'WK3 - Notional GI 15-16 YIELD'!$D31</f>
        <v>0</v>
      </c>
      <c r="J559">
        <f>J202*'WK3 - Notional GI 15-16 YIELD'!$D31</f>
        <v>0</v>
      </c>
      <c r="K559">
        <f>K202*'WK3 - Notional GI 15-16 YIELD'!$D31</f>
        <v>0</v>
      </c>
      <c r="L559">
        <f>L202*'WK3 - Notional GI 15-16 YIELD'!$D31</f>
        <v>0</v>
      </c>
    </row>
    <row r="560" spans="3:12" hidden="1" x14ac:dyDescent="0.2">
      <c r="C560" t="str">
        <f t="shared" si="285"/>
        <v>Residential</v>
      </c>
      <c r="D560" t="str">
        <f t="shared" si="286"/>
        <v/>
      </c>
      <c r="F560">
        <f>F203*'WK3 - Notional GI 15-16 YIELD'!$D32</f>
        <v>0</v>
      </c>
      <c r="G560">
        <f>G203*'WK3 - Notional GI 15-16 YIELD'!$D32</f>
        <v>0</v>
      </c>
      <c r="H560">
        <f>H203*'WK3 - Notional GI 15-16 YIELD'!$D32</f>
        <v>0</v>
      </c>
      <c r="I560">
        <f>I203*'WK3 - Notional GI 15-16 YIELD'!$D32</f>
        <v>0</v>
      </c>
      <c r="J560">
        <f>J203*'WK3 - Notional GI 15-16 YIELD'!$D32</f>
        <v>0</v>
      </c>
      <c r="K560">
        <f>K203*'WK3 - Notional GI 15-16 YIELD'!$D32</f>
        <v>0</v>
      </c>
      <c r="L560">
        <f>L203*'WK3 - Notional GI 15-16 YIELD'!$D32</f>
        <v>0</v>
      </c>
    </row>
    <row r="561" spans="3:13" hidden="1" x14ac:dyDescent="0.2">
      <c r="C561" t="str">
        <f t="shared" si="285"/>
        <v>Special rate</v>
      </c>
      <c r="D561" t="str">
        <f t="shared" si="285"/>
        <v>Jerberra Rezoning Special Rate</v>
      </c>
      <c r="F561">
        <f>F204*'WK3 - Notional GI 15-16 YIELD'!$D91</f>
        <v>42818.979758899201</v>
      </c>
      <c r="G561">
        <f>G204*'WK3 - Notional GI 15-16 YIELD'!$D91</f>
        <v>44103.549151666179</v>
      </c>
      <c r="H561">
        <f>H204*'WK3 - Notional GI 15-16 YIELD'!$D91</f>
        <v>45426.655626216168</v>
      </c>
      <c r="I561">
        <f>I204*'WK3 - Notional GI 15-16 YIELD'!$D91</f>
        <v>46789.455295002655</v>
      </c>
      <c r="J561">
        <f>J204*'WK3 - Notional GI 15-16 YIELD'!$D91</f>
        <v>48193.138953852736</v>
      </c>
      <c r="K561">
        <f>K204*'WK3 - Notional GI 15-16 YIELD'!$D91</f>
        <v>49638.933122468319</v>
      </c>
      <c r="L561">
        <f>L204*'WK3 - Notional GI 15-16 YIELD'!$D91</f>
        <v>0</v>
      </c>
    </row>
    <row r="562" spans="3:13" hidden="1" x14ac:dyDescent="0.2">
      <c r="C562" t="str">
        <f t="shared" si="285"/>
        <v>Special rate</v>
      </c>
      <c r="D562" t="str">
        <f t="shared" ref="D562:D570" si="287">D205</f>
        <v>Jerberra Road Design Special Rate</v>
      </c>
      <c r="F562">
        <f>F205*'WK3 - Notional GI 15-16 YIELD'!$D92</f>
        <v>22703.311929139196</v>
      </c>
      <c r="G562">
        <f>G205*'WK3 - Notional GI 15-16 YIELD'!$D92</f>
        <v>23384.411287013372</v>
      </c>
      <c r="H562">
        <f>H205*'WK3 - Notional GI 15-16 YIELD'!$D92</f>
        <v>24085.943625623771</v>
      </c>
      <c r="I562">
        <f>I205*'WK3 - Notional GI 15-16 YIELD'!$D92</f>
        <v>24808.521934392487</v>
      </c>
      <c r="J562">
        <f>J205*'WK3 - Notional GI 15-16 YIELD'!$D92</f>
        <v>25552.777592424263</v>
      </c>
      <c r="K562">
        <f>K205*'WK3 - Notional GI 15-16 YIELD'!$D92</f>
        <v>26319.360920196992</v>
      </c>
      <c r="L562">
        <f>L205*'WK3 - Notional GI 15-16 YIELD'!$D92</f>
        <v>0</v>
      </c>
    </row>
    <row r="563" spans="3:13" hidden="1" x14ac:dyDescent="0.2">
      <c r="C563" t="str">
        <f t="shared" si="285"/>
        <v>Special rate</v>
      </c>
      <c r="D563" t="str">
        <f t="shared" si="287"/>
        <v>Jerberra Road Construction Special Rate</v>
      </c>
      <c r="F563">
        <f>F206*'WK3 - Notional GI 15-16 YIELD'!$D93</f>
        <v>36957.119403417601</v>
      </c>
      <c r="G563">
        <f>G206*'WK3 - Notional GI 15-16 YIELD'!$D93</f>
        <v>38065.832985520123</v>
      </c>
      <c r="H563">
        <f>H206*'WK3 - Notional GI 15-16 YIELD'!$D93</f>
        <v>39207.807975085729</v>
      </c>
      <c r="I563">
        <f>I206*'WK3 - Notional GI 15-16 YIELD'!$D93</f>
        <v>40384.042214338304</v>
      </c>
      <c r="J563">
        <f>J206*'WK3 - Notional GI 15-16 YIELD'!$D93</f>
        <v>41595.563480768455</v>
      </c>
      <c r="K563">
        <f>K206*'WK3 - Notional GI 15-16 YIELD'!$D93</f>
        <v>42843.43038519151</v>
      </c>
      <c r="L563">
        <f>L206*'WK3 - Notional GI 15-16 YIELD'!$D93</f>
        <v>0</v>
      </c>
    </row>
    <row r="564" spans="3:13" hidden="1" x14ac:dyDescent="0.2">
      <c r="C564" t="str">
        <f t="shared" si="285"/>
        <v>Special rate</v>
      </c>
      <c r="D564" t="str">
        <f t="shared" si="287"/>
        <v>Verons Rezoning Special Rate</v>
      </c>
      <c r="F564">
        <f>F207*'WK3 - Notional GI 15-16 YIELD'!$D94</f>
        <v>12730.554777600002</v>
      </c>
      <c r="G564">
        <f>G207*'WK3 - Notional GI 15-16 YIELD'!$D94</f>
        <v>13112.471420928003</v>
      </c>
      <c r="H564">
        <f>H207*'WK3 - Notional GI 15-16 YIELD'!$D94</f>
        <v>13505.845563555842</v>
      </c>
      <c r="I564">
        <f>I207*'WK3 - Notional GI 15-16 YIELD'!$D94</f>
        <v>13911.020930462519</v>
      </c>
      <c r="J564">
        <f>J207*'WK3 - Notional GI 15-16 YIELD'!$D94</f>
        <v>14328.351558376395</v>
      </c>
      <c r="K564">
        <f>K207*'WK3 - Notional GI 15-16 YIELD'!$D94</f>
        <v>14758.202105127686</v>
      </c>
      <c r="L564">
        <f>L207*'WK3 - Notional GI 15-16 YIELD'!$D94</f>
        <v>0</v>
      </c>
    </row>
    <row r="565" spans="3:13" hidden="1" x14ac:dyDescent="0.2">
      <c r="C565" t="str">
        <f t="shared" si="285"/>
        <v>Special rate</v>
      </c>
      <c r="D565" t="str">
        <f t="shared" si="287"/>
        <v>Verons Road Design Special Rate</v>
      </c>
      <c r="F565">
        <f>F208*'WK3 - Notional GI 15-16 YIELD'!$D95</f>
        <v>4862.997503999999</v>
      </c>
      <c r="G565">
        <f>G208*'WK3 - Notional GI 15-16 YIELD'!$D95</f>
        <v>5008.88742912</v>
      </c>
      <c r="H565">
        <f>H208*'WK3 - Notional GI 15-16 YIELD'!$D95</f>
        <v>5159.1540519935998</v>
      </c>
      <c r="I565">
        <f>I208*'WK3 - Notional GI 15-16 YIELD'!$D95</f>
        <v>5313.9286735534088</v>
      </c>
      <c r="J565">
        <f>J208*'WK3 - Notional GI 15-16 YIELD'!$D95</f>
        <v>5473.346533760011</v>
      </c>
      <c r="K565">
        <f>K208*'WK3 - Notional GI 15-16 YIELD'!$D95</f>
        <v>5637.5469297728114</v>
      </c>
      <c r="L565">
        <f>L208*'WK3 - Notional GI 15-16 YIELD'!$D95</f>
        <v>0</v>
      </c>
    </row>
    <row r="566" spans="3:13" hidden="1" x14ac:dyDescent="0.2">
      <c r="C566" t="str">
        <f t="shared" si="285"/>
        <v>Special rate</v>
      </c>
      <c r="D566" t="str">
        <f t="shared" si="287"/>
        <v>Verons Road Construction Special Rate</v>
      </c>
      <c r="F566">
        <f>F209*'WK3 - Notional GI 15-16 YIELD'!$D96</f>
        <v>14686.954905600001</v>
      </c>
      <c r="G566">
        <f>G209*'WK3 - Notional GI 15-16 YIELD'!$D96</f>
        <v>15127.563552768002</v>
      </c>
      <c r="H566">
        <f>H209*'WK3 - Notional GI 15-16 YIELD'!$D96</f>
        <v>15581.390459351041</v>
      </c>
      <c r="I566">
        <f>I209*'WK3 - Notional GI 15-16 YIELD'!$D96</f>
        <v>16048.832173131574</v>
      </c>
      <c r="J566">
        <f>J209*'WK3 - Notional GI 15-16 YIELD'!$D96</f>
        <v>16530.297138325521</v>
      </c>
      <c r="K566">
        <f>K209*'WK3 - Notional GI 15-16 YIELD'!$D96</f>
        <v>17026.206052475289</v>
      </c>
      <c r="L566">
        <f>L209*'WK3 - Notional GI 15-16 YIELD'!$D96</f>
        <v>0</v>
      </c>
    </row>
    <row r="567" spans="3:13" hidden="1" x14ac:dyDescent="0.2">
      <c r="C567" t="str">
        <f t="shared" si="285"/>
        <v>Special rate</v>
      </c>
      <c r="D567" t="str">
        <f t="shared" si="287"/>
        <v>Nebraska Rezoning Special Rate</v>
      </c>
      <c r="F567">
        <f>F210*'WK3 - Notional GI 15-16 YIELD'!$D97</f>
        <v>14287.072583679997</v>
      </c>
      <c r="G567">
        <f>G210*'WK3 - Notional GI 15-16 YIELD'!$D97</f>
        <v>14715.684761190398</v>
      </c>
      <c r="H567">
        <f>H210*'WK3 - Notional GI 15-16 YIELD'!$D97</f>
        <v>15157.155304026108</v>
      </c>
      <c r="I567">
        <f>I210*'WK3 - Notional GI 15-16 YIELD'!$D97</f>
        <v>15611.869963146893</v>
      </c>
      <c r="J567">
        <f>J210*'WK3 - Notional GI 15-16 YIELD'!$D97</f>
        <v>16080.2260620413</v>
      </c>
      <c r="K567">
        <f>K210*'WK3 - Notional GI 15-16 YIELD'!$D97</f>
        <v>16562.632843902538</v>
      </c>
      <c r="L567">
        <f>L210*'WK3 - Notional GI 15-16 YIELD'!$D97</f>
        <v>0</v>
      </c>
    </row>
    <row r="568" spans="3:13" hidden="1" x14ac:dyDescent="0.2">
      <c r="C568" t="str">
        <f t="shared" si="285"/>
        <v>Special rate</v>
      </c>
      <c r="D568" t="str">
        <f t="shared" si="287"/>
        <v>Nebraska Road Design Special Rate</v>
      </c>
      <c r="F568">
        <f>F211*'WK3 - Notional GI 15-16 YIELD'!$D98</f>
        <v>3567.9785369599999</v>
      </c>
      <c r="G568">
        <f>G211*'WK3 - Notional GI 15-16 YIELD'!$D98</f>
        <v>3675.0178930688003</v>
      </c>
      <c r="H568">
        <f>H211*'WK3 - Notional GI 15-16 YIELD'!$D98</f>
        <v>3785.2684298608642</v>
      </c>
      <c r="I568">
        <f>I211*'WK3 - Notional GI 15-16 YIELD'!$D98</f>
        <v>3898.82648275669</v>
      </c>
      <c r="J568">
        <f>J211*'WK3 - Notional GI 15-16 YIELD'!$D98</f>
        <v>4015.7912772393906</v>
      </c>
      <c r="K568">
        <f>K211*'WK3 - Notional GI 15-16 YIELD'!$D98</f>
        <v>4136.2650155565725</v>
      </c>
      <c r="L568">
        <f>L211*'WK3 - Notional GI 15-16 YIELD'!$D98</f>
        <v>0</v>
      </c>
    </row>
    <row r="569" spans="3:13" hidden="1" x14ac:dyDescent="0.2">
      <c r="C569" t="s">
        <v>637</v>
      </c>
      <c r="D569" t="str">
        <f t="shared" si="287"/>
        <v>Nebraska Road Construction Special Rate</v>
      </c>
      <c r="F569">
        <f>F212*'WK3 - Notional GI 15-16 YIELD'!$D99</f>
        <v>6103.3566617600009</v>
      </c>
      <c r="G569">
        <f>G212*'WK3 - Notional GI 15-16 YIELD'!$D99</f>
        <v>6286.4573616128009</v>
      </c>
      <c r="H569">
        <f>H212*'WK3 - Notional GI 15-16 YIELD'!$D99</f>
        <v>6475.0510824611847</v>
      </c>
      <c r="I569">
        <f>I212*'WK3 - Notional GI 15-16 YIELD'!$D99</f>
        <v>6669.3026149350208</v>
      </c>
      <c r="J569">
        <f>J212*'WK3 - Notional GI 15-16 YIELD'!$D99</f>
        <v>6869.3816933830722</v>
      </c>
      <c r="K569">
        <f>K212*'WK3 - Notional GI 15-16 YIELD'!$D99</f>
        <v>7075.463144184565</v>
      </c>
      <c r="L569">
        <f>L212*'WK3 - Notional GI 15-16 YIELD'!$D99</f>
        <v>0</v>
      </c>
    </row>
    <row r="570" spans="3:13" hidden="1" x14ac:dyDescent="0.2">
      <c r="C570" t="str">
        <f>C212</f>
        <v>Special rate</v>
      </c>
      <c r="D570" t="str">
        <f t="shared" si="287"/>
        <v>Jerberra Road Infrastructure</v>
      </c>
      <c r="F570">
        <f>F213*'WK3 - Notional GI 15-16 YIELD'!$D100</f>
        <v>0</v>
      </c>
      <c r="G570">
        <f>G213*'WK3 - Notional GI 15-16 YIELD'!$D100</f>
        <v>0</v>
      </c>
      <c r="H570">
        <f>H213*'WK3 - Notional GI 15-16 YIELD'!$D100</f>
        <v>0</v>
      </c>
      <c r="I570">
        <f>I213*'WK3 - Notional GI 15-16 YIELD'!$D100</f>
        <v>0</v>
      </c>
      <c r="J570">
        <f>J213*'WK3 - Notional GI 15-16 YIELD'!$D100</f>
        <v>0</v>
      </c>
      <c r="K570">
        <f>K213*'WK3 - Notional GI 15-16 YIELD'!$D100</f>
        <v>0</v>
      </c>
      <c r="L570">
        <f>L213*'WK3 - Notional GI 15-16 YIELD'!$D100</f>
        <v>0</v>
      </c>
      <c r="M570">
        <f>M213*'WK3 - Notional GI 15-16 YIELD'!$D$94</f>
        <v>0</v>
      </c>
    </row>
    <row r="571" spans="3:13" s="165" customFormat="1" hidden="1" x14ac:dyDescent="0.2">
      <c r="D571" s="165" t="str">
        <f>D447</f>
        <v>TOTAL INCOME FROM RESIDENTIAL</v>
      </c>
      <c r="F571" s="165">
        <f>SUM(F541:F570)</f>
        <v>51276489.726295754</v>
      </c>
      <c r="G571" s="165">
        <f t="shared" ref="G571:L571" si="288">SUM(G541:G570)</f>
        <v>52814784.418084629</v>
      </c>
      <c r="H571" s="165">
        <f t="shared" si="288"/>
        <v>54399227.950627171</v>
      </c>
      <c r="I571" s="165">
        <f t="shared" si="288"/>
        <v>56031204.789145976</v>
      </c>
      <c r="J571" s="165">
        <f t="shared" si="288"/>
        <v>57712140.93282038</v>
      </c>
      <c r="K571" s="165">
        <f t="shared" si="288"/>
        <v>59443505.16080498</v>
      </c>
      <c r="L571" s="165">
        <f t="shared" si="288"/>
        <v>61037292.333894692</v>
      </c>
      <c r="M571">
        <f>SUM(M541:M570)</f>
        <v>0</v>
      </c>
    </row>
    <row r="572" spans="3:13" hidden="1" x14ac:dyDescent="0.2">
      <c r="C572" t="str">
        <f t="shared" ref="C572:D591" si="289">C215</f>
        <v>Business</v>
      </c>
      <c r="D572" t="str">
        <f t="shared" si="289"/>
        <v/>
      </c>
      <c r="F572">
        <f>F215*'WK3 - Notional GI 15-16 YIELD'!$D34</f>
        <v>6499.7533480000002</v>
      </c>
      <c r="G572">
        <f>G215*'WK3 - Notional GI 15-16 YIELD'!$D34</f>
        <v>6694.7459484400006</v>
      </c>
      <c r="H572">
        <f>H215*'WK3 - Notional GI 15-16 YIELD'!$D34</f>
        <v>6895.5883268932002</v>
      </c>
      <c r="I572">
        <f>I215*'WK3 - Notional GI 15-16 YIELD'!$D34</f>
        <v>7102.4559766999964</v>
      </c>
      <c r="J572">
        <f>J215*'WK3 - Notional GI 15-16 YIELD'!$D34</f>
        <v>7315.5296560009974</v>
      </c>
      <c r="K572">
        <f>K215*'WK3 - Notional GI 15-16 YIELD'!$D34</f>
        <v>7534.9955456810276</v>
      </c>
      <c r="L572">
        <f>L215*'WK3 - Notional GI 15-16 YIELD'!$D34</f>
        <v>7761.0454120514596</v>
      </c>
    </row>
    <row r="573" spans="3:13" hidden="1" x14ac:dyDescent="0.2">
      <c r="C573" t="str">
        <f t="shared" si="289"/>
        <v>Business</v>
      </c>
      <c r="D573" t="str">
        <f t="shared" ref="D573:D591" si="290">D216</f>
        <v>Commercial/Industrial</v>
      </c>
      <c r="F573">
        <f>F216*'WK3 - Notional GI 15-16 YIELD'!$D35</f>
        <v>2666890.1020954996</v>
      </c>
      <c r="G573">
        <f>G216*'WK3 - Notional GI 15-16 YIELD'!$D35</f>
        <v>2746896.8051583646</v>
      </c>
      <c r="H573">
        <f>H216*'WK3 - Notional GI 15-16 YIELD'!$D35</f>
        <v>2829303.7093131156</v>
      </c>
      <c r="I573">
        <f>I216*'WK3 - Notional GI 15-16 YIELD'!$D35</f>
        <v>2914182.8205925091</v>
      </c>
      <c r="J573">
        <f>J216*'WK3 - Notional GI 15-16 YIELD'!$D35</f>
        <v>3001608.3052102844</v>
      </c>
      <c r="K573">
        <f>K216*'WK3 - Notional GI 15-16 YIELD'!$D35</f>
        <v>3091656.5543665932</v>
      </c>
      <c r="L573">
        <f>L216*'WK3 - Notional GI 15-16 YIELD'!$D35</f>
        <v>3184406.2509975908</v>
      </c>
    </row>
    <row r="574" spans="3:13" hidden="1" x14ac:dyDescent="0.2">
      <c r="C574" t="str">
        <f t="shared" si="289"/>
        <v>Business</v>
      </c>
      <c r="D574" t="str">
        <f t="shared" si="290"/>
        <v>Nowra</v>
      </c>
      <c r="F574">
        <f>F217*'WK3 - Notional GI 15-16 YIELD'!$D36</f>
        <v>1823571.1794</v>
      </c>
      <c r="G574">
        <f>G217*'WK3 - Notional GI 15-16 YIELD'!$D36</f>
        <v>1878278.3147819999</v>
      </c>
      <c r="H574">
        <f>H217*'WK3 - Notional GI 15-16 YIELD'!$D36</f>
        <v>1934626.6642254598</v>
      </c>
      <c r="I574">
        <f>I217*'WK3 - Notional GI 15-16 YIELD'!$D36</f>
        <v>1992665.4641522237</v>
      </c>
      <c r="J574">
        <f>J217*'WK3 - Notional GI 15-16 YIELD'!$D36</f>
        <v>2052445.4280767904</v>
      </c>
      <c r="K574">
        <f>K217*'WK3 - Notional GI 15-16 YIELD'!$D36</f>
        <v>2114018.7909190943</v>
      </c>
      <c r="L574">
        <f>L217*'WK3 - Notional GI 15-16 YIELD'!$D36</f>
        <v>2177439.3546466669</v>
      </c>
    </row>
    <row r="575" spans="3:13" hidden="1" x14ac:dyDescent="0.2">
      <c r="C575" t="str">
        <f t="shared" si="289"/>
        <v>Business</v>
      </c>
      <c r="D575" t="str">
        <f t="shared" si="290"/>
        <v>Ulladulla</v>
      </c>
      <c r="F575">
        <f>F218*'WK3 - Notional GI 15-16 YIELD'!$D37</f>
        <v>391954.27474999998</v>
      </c>
      <c r="G575">
        <f>G218*'WK3 - Notional GI 15-16 YIELD'!$D37</f>
        <v>403712.90299249999</v>
      </c>
      <c r="H575">
        <f>H218*'WK3 - Notional GI 15-16 YIELD'!$D37</f>
        <v>415824.29008227499</v>
      </c>
      <c r="I575">
        <f>I218*'WK3 - Notional GI 15-16 YIELD'!$D37</f>
        <v>428299.01878474327</v>
      </c>
      <c r="J575">
        <f>J218*'WK3 - Notional GI 15-16 YIELD'!$D37</f>
        <v>441147.9893482856</v>
      </c>
      <c r="K575">
        <f>K218*'WK3 - Notional GI 15-16 YIELD'!$D37</f>
        <v>454382.42902873416</v>
      </c>
      <c r="L575">
        <f>L218*'WK3 - Notional GI 15-16 YIELD'!$D37</f>
        <v>468013.90189959621</v>
      </c>
    </row>
    <row r="576" spans="3:13" hidden="1" x14ac:dyDescent="0.2">
      <c r="C576" t="str">
        <f t="shared" si="289"/>
        <v>Business</v>
      </c>
      <c r="D576" t="str">
        <f t="shared" si="290"/>
        <v>Sussex Area Special</v>
      </c>
      <c r="F576">
        <f>F219*'WK3 - Notional GI 15-16 YIELD'!$D38</f>
        <v>11866.349302999999</v>
      </c>
      <c r="G576">
        <f>G219*'WK3 - Notional GI 15-16 YIELD'!$D38</f>
        <v>12222.339782089999</v>
      </c>
      <c r="H576">
        <f>H219*'WK3 - Notional GI 15-16 YIELD'!$D38</f>
        <v>12589.009975552699</v>
      </c>
      <c r="I576">
        <f>I219*'WK3 - Notional GI 15-16 YIELD'!$D38</f>
        <v>12966.680274819282</v>
      </c>
      <c r="J576">
        <f>J219*'WK3 - Notional GI 15-16 YIELD'!$D38</f>
        <v>13355.68068306386</v>
      </c>
      <c r="K576">
        <f>K219*'WK3 - Notional GI 15-16 YIELD'!$D38</f>
        <v>13756.351103555775</v>
      </c>
      <c r="L576">
        <f>L219*'WK3 - Notional GI 15-16 YIELD'!$D38</f>
        <v>14169.041636662449</v>
      </c>
    </row>
    <row r="577" spans="3:12" hidden="1" x14ac:dyDescent="0.2">
      <c r="C577" t="str">
        <f t="shared" si="289"/>
        <v>Business</v>
      </c>
      <c r="D577" t="str">
        <f t="shared" si="290"/>
        <v/>
      </c>
      <c r="F577">
        <f>F220*'WK3 - Notional GI 15-16 YIELD'!$D39</f>
        <v>0</v>
      </c>
      <c r="G577">
        <f>G220*'WK3 - Notional GI 15-16 YIELD'!$D39</f>
        <v>0</v>
      </c>
      <c r="H577">
        <f>H220*'WK3 - Notional GI 15-16 YIELD'!$D39</f>
        <v>0</v>
      </c>
      <c r="I577">
        <f>I220*'WK3 - Notional GI 15-16 YIELD'!$D39</f>
        <v>0</v>
      </c>
      <c r="J577">
        <f>J220*'WK3 - Notional GI 15-16 YIELD'!$D39</f>
        <v>0</v>
      </c>
      <c r="K577">
        <f>K220*'WK3 - Notional GI 15-16 YIELD'!$D39</f>
        <v>0</v>
      </c>
      <c r="L577">
        <f>L220*'WK3 - Notional GI 15-16 YIELD'!$D39</f>
        <v>0</v>
      </c>
    </row>
    <row r="578" spans="3:12" hidden="1" x14ac:dyDescent="0.2">
      <c r="C578" t="str">
        <f t="shared" si="289"/>
        <v>Business</v>
      </c>
      <c r="D578" t="str">
        <f t="shared" si="290"/>
        <v/>
      </c>
      <c r="F578">
        <f>F221*'WK3 - Notional GI 15-16 YIELD'!$D40</f>
        <v>0</v>
      </c>
      <c r="G578">
        <f>G221*'WK3 - Notional GI 15-16 YIELD'!$D40</f>
        <v>0</v>
      </c>
      <c r="H578">
        <f>H221*'WK3 - Notional GI 15-16 YIELD'!$D40</f>
        <v>0</v>
      </c>
      <c r="I578">
        <f>I221*'WK3 - Notional GI 15-16 YIELD'!$D40</f>
        <v>0</v>
      </c>
      <c r="J578">
        <f>J221*'WK3 - Notional GI 15-16 YIELD'!$D40</f>
        <v>0</v>
      </c>
      <c r="K578">
        <f>K221*'WK3 - Notional GI 15-16 YIELD'!$D40</f>
        <v>0</v>
      </c>
      <c r="L578">
        <f>L221*'WK3 - Notional GI 15-16 YIELD'!$D40</f>
        <v>0</v>
      </c>
    </row>
    <row r="579" spans="3:12" hidden="1" x14ac:dyDescent="0.2">
      <c r="C579" t="str">
        <f t="shared" si="289"/>
        <v>Business</v>
      </c>
      <c r="D579" t="str">
        <f t="shared" si="290"/>
        <v/>
      </c>
      <c r="F579">
        <f>F222*'WK3 - Notional GI 15-16 YIELD'!$D41</f>
        <v>0</v>
      </c>
      <c r="G579">
        <f>G222*'WK3 - Notional GI 15-16 YIELD'!$D41</f>
        <v>0</v>
      </c>
      <c r="H579">
        <f>H222*'WK3 - Notional GI 15-16 YIELD'!$D41</f>
        <v>0</v>
      </c>
      <c r="I579">
        <f>I222*'WK3 - Notional GI 15-16 YIELD'!$D41</f>
        <v>0</v>
      </c>
      <c r="J579">
        <f>J222*'WK3 - Notional GI 15-16 YIELD'!$D41</f>
        <v>0</v>
      </c>
      <c r="K579">
        <f>K222*'WK3 - Notional GI 15-16 YIELD'!$D41</f>
        <v>0</v>
      </c>
      <c r="L579">
        <f>L222*'WK3 - Notional GI 15-16 YIELD'!$D41</f>
        <v>0</v>
      </c>
    </row>
    <row r="580" spans="3:12" hidden="1" x14ac:dyDescent="0.2">
      <c r="C580" t="str">
        <f t="shared" si="289"/>
        <v>Business</v>
      </c>
      <c r="D580" t="str">
        <f t="shared" si="290"/>
        <v/>
      </c>
      <c r="F580">
        <f>F223*'WK3 - Notional GI 15-16 YIELD'!$D42</f>
        <v>0</v>
      </c>
      <c r="G580">
        <f>G223*'WK3 - Notional GI 15-16 YIELD'!$D42</f>
        <v>0</v>
      </c>
      <c r="H580">
        <f>H223*'WK3 - Notional GI 15-16 YIELD'!$D42</f>
        <v>0</v>
      </c>
      <c r="I580">
        <f>I223*'WK3 - Notional GI 15-16 YIELD'!$D42</f>
        <v>0</v>
      </c>
      <c r="J580">
        <f>J223*'WK3 - Notional GI 15-16 YIELD'!$D42</f>
        <v>0</v>
      </c>
      <c r="K580">
        <f>K223*'WK3 - Notional GI 15-16 YIELD'!$D42</f>
        <v>0</v>
      </c>
      <c r="L580">
        <f>L223*'WK3 - Notional GI 15-16 YIELD'!$D42</f>
        <v>0</v>
      </c>
    </row>
    <row r="581" spans="3:12" hidden="1" x14ac:dyDescent="0.2">
      <c r="C581" t="str">
        <f t="shared" si="289"/>
        <v>Business</v>
      </c>
      <c r="D581" t="str">
        <f t="shared" si="290"/>
        <v/>
      </c>
      <c r="F581">
        <f>F224*'WK3 - Notional GI 15-16 YIELD'!$D43</f>
        <v>0</v>
      </c>
      <c r="G581">
        <f>G224*'WK3 - Notional GI 15-16 YIELD'!$D43</f>
        <v>0</v>
      </c>
      <c r="H581">
        <f>H224*'WK3 - Notional GI 15-16 YIELD'!$D43</f>
        <v>0</v>
      </c>
      <c r="I581">
        <f>I224*'WK3 - Notional GI 15-16 YIELD'!$D43</f>
        <v>0</v>
      </c>
      <c r="J581">
        <f>J224*'WK3 - Notional GI 15-16 YIELD'!$D43</f>
        <v>0</v>
      </c>
      <c r="K581">
        <f>K224*'WK3 - Notional GI 15-16 YIELD'!$D43</f>
        <v>0</v>
      </c>
      <c r="L581">
        <f>L224*'WK3 - Notional GI 15-16 YIELD'!$D43</f>
        <v>0</v>
      </c>
    </row>
    <row r="582" spans="3:12" hidden="1" x14ac:dyDescent="0.2">
      <c r="C582" t="str">
        <f t="shared" si="289"/>
        <v>Business</v>
      </c>
      <c r="D582" t="str">
        <f t="shared" si="290"/>
        <v/>
      </c>
      <c r="F582">
        <f>F225*'WK3 - Notional GI 15-16 YIELD'!$D44</f>
        <v>0</v>
      </c>
      <c r="G582">
        <f>G225*'WK3 - Notional GI 15-16 YIELD'!$D44</f>
        <v>0</v>
      </c>
      <c r="H582">
        <f>H225*'WK3 - Notional GI 15-16 YIELD'!$D44</f>
        <v>0</v>
      </c>
      <c r="I582">
        <f>I225*'WK3 - Notional GI 15-16 YIELD'!$D44</f>
        <v>0</v>
      </c>
      <c r="J582">
        <f>J225*'WK3 - Notional GI 15-16 YIELD'!$D44</f>
        <v>0</v>
      </c>
      <c r="K582">
        <f>K225*'WK3 - Notional GI 15-16 YIELD'!$D44</f>
        <v>0</v>
      </c>
      <c r="L582">
        <f>L225*'WK3 - Notional GI 15-16 YIELD'!$D44</f>
        <v>0</v>
      </c>
    </row>
    <row r="583" spans="3:12" hidden="1" x14ac:dyDescent="0.2">
      <c r="C583" t="str">
        <f t="shared" si="289"/>
        <v>Business</v>
      </c>
      <c r="D583" t="str">
        <f t="shared" si="290"/>
        <v/>
      </c>
      <c r="F583">
        <f>F226*'WK3 - Notional GI 15-16 YIELD'!$D45</f>
        <v>0</v>
      </c>
      <c r="G583">
        <f>G226*'WK3 - Notional GI 15-16 YIELD'!$D45</f>
        <v>0</v>
      </c>
      <c r="H583">
        <f>H226*'WK3 - Notional GI 15-16 YIELD'!$D45</f>
        <v>0</v>
      </c>
      <c r="I583">
        <f>I226*'WK3 - Notional GI 15-16 YIELD'!$D45</f>
        <v>0</v>
      </c>
      <c r="J583">
        <f>J226*'WK3 - Notional GI 15-16 YIELD'!$D45</f>
        <v>0</v>
      </c>
      <c r="K583">
        <f>K226*'WK3 - Notional GI 15-16 YIELD'!$D45</f>
        <v>0</v>
      </c>
      <c r="L583">
        <f>L226*'WK3 - Notional GI 15-16 YIELD'!$D45</f>
        <v>0</v>
      </c>
    </row>
    <row r="584" spans="3:12" hidden="1" x14ac:dyDescent="0.2">
      <c r="C584" t="str">
        <f t="shared" si="289"/>
        <v>Business</v>
      </c>
      <c r="D584" t="str">
        <f t="shared" si="290"/>
        <v/>
      </c>
      <c r="F584">
        <f>F227*'WK3 - Notional GI 15-16 YIELD'!$D46</f>
        <v>0</v>
      </c>
      <c r="G584">
        <f>G227*'WK3 - Notional GI 15-16 YIELD'!$D46</f>
        <v>0</v>
      </c>
      <c r="H584">
        <f>H227*'WK3 - Notional GI 15-16 YIELD'!$D46</f>
        <v>0</v>
      </c>
      <c r="I584">
        <f>I227*'WK3 - Notional GI 15-16 YIELD'!$D46</f>
        <v>0</v>
      </c>
      <c r="J584">
        <f>J227*'WK3 - Notional GI 15-16 YIELD'!$D46</f>
        <v>0</v>
      </c>
      <c r="K584">
        <f>K227*'WK3 - Notional GI 15-16 YIELD'!$D46</f>
        <v>0</v>
      </c>
      <c r="L584">
        <f>L227*'WK3 - Notional GI 15-16 YIELD'!$D46</f>
        <v>0</v>
      </c>
    </row>
    <row r="585" spans="3:12" hidden="1" x14ac:dyDescent="0.2">
      <c r="C585" t="str">
        <f t="shared" si="289"/>
        <v>Business</v>
      </c>
      <c r="D585" t="str">
        <f t="shared" si="290"/>
        <v/>
      </c>
      <c r="F585">
        <f>F228*'WK3 - Notional GI 15-16 YIELD'!$D47</f>
        <v>0</v>
      </c>
      <c r="G585">
        <f>G228*'WK3 - Notional GI 15-16 YIELD'!$D47</f>
        <v>0</v>
      </c>
      <c r="H585">
        <f>H228*'WK3 - Notional GI 15-16 YIELD'!$D47</f>
        <v>0</v>
      </c>
      <c r="I585">
        <f>I228*'WK3 - Notional GI 15-16 YIELD'!$D47</f>
        <v>0</v>
      </c>
      <c r="J585">
        <f>J228*'WK3 - Notional GI 15-16 YIELD'!$D47</f>
        <v>0</v>
      </c>
      <c r="K585">
        <f>K228*'WK3 - Notional GI 15-16 YIELD'!$D47</f>
        <v>0</v>
      </c>
      <c r="L585">
        <f>L228*'WK3 - Notional GI 15-16 YIELD'!$D47</f>
        <v>0</v>
      </c>
    </row>
    <row r="586" spans="3:12" hidden="1" x14ac:dyDescent="0.2">
      <c r="C586" t="str">
        <f t="shared" si="289"/>
        <v>Business</v>
      </c>
      <c r="D586" t="str">
        <f t="shared" si="290"/>
        <v/>
      </c>
      <c r="F586">
        <f>F229*'WK3 - Notional GI 15-16 YIELD'!$D48</f>
        <v>0</v>
      </c>
      <c r="G586">
        <f>G229*'WK3 - Notional GI 15-16 YIELD'!$D48</f>
        <v>0</v>
      </c>
      <c r="H586">
        <f>H229*'WK3 - Notional GI 15-16 YIELD'!$D48</f>
        <v>0</v>
      </c>
      <c r="I586">
        <f>I229*'WK3 - Notional GI 15-16 YIELD'!$D48</f>
        <v>0</v>
      </c>
      <c r="J586">
        <f>J229*'WK3 - Notional GI 15-16 YIELD'!$D48</f>
        <v>0</v>
      </c>
      <c r="K586">
        <f>K229*'WK3 - Notional GI 15-16 YIELD'!$D48</f>
        <v>0</v>
      </c>
      <c r="L586">
        <f>L229*'WK3 - Notional GI 15-16 YIELD'!$D48</f>
        <v>0</v>
      </c>
    </row>
    <row r="587" spans="3:12" hidden="1" x14ac:dyDescent="0.2">
      <c r="C587" t="str">
        <f t="shared" si="289"/>
        <v>Business</v>
      </c>
      <c r="D587" t="str">
        <f t="shared" si="290"/>
        <v/>
      </c>
      <c r="F587">
        <f>F230*'WK3 - Notional GI 15-16 YIELD'!$D49</f>
        <v>0</v>
      </c>
      <c r="G587">
        <f>G230*'WK3 - Notional GI 15-16 YIELD'!$D49</f>
        <v>0</v>
      </c>
      <c r="H587">
        <f>H230*'WK3 - Notional GI 15-16 YIELD'!$D49</f>
        <v>0</v>
      </c>
      <c r="I587">
        <f>I230*'WK3 - Notional GI 15-16 YIELD'!$D49</f>
        <v>0</v>
      </c>
      <c r="J587">
        <f>J230*'WK3 - Notional GI 15-16 YIELD'!$D49</f>
        <v>0</v>
      </c>
      <c r="K587">
        <f>K230*'WK3 - Notional GI 15-16 YIELD'!$D49</f>
        <v>0</v>
      </c>
      <c r="L587">
        <f>L230*'WK3 - Notional GI 15-16 YIELD'!$D49</f>
        <v>0</v>
      </c>
    </row>
    <row r="588" spans="3:12" hidden="1" x14ac:dyDescent="0.2">
      <c r="C588" t="str">
        <f t="shared" si="289"/>
        <v>Business</v>
      </c>
      <c r="D588" t="str">
        <f t="shared" si="290"/>
        <v/>
      </c>
      <c r="F588">
        <f>F231*'WK3 - Notional GI 15-16 YIELD'!$D50</f>
        <v>0</v>
      </c>
      <c r="G588">
        <f>G231*'WK3 - Notional GI 15-16 YIELD'!$D50</f>
        <v>0</v>
      </c>
      <c r="H588">
        <f>H231*'WK3 - Notional GI 15-16 YIELD'!$D50</f>
        <v>0</v>
      </c>
      <c r="I588">
        <f>I231*'WK3 - Notional GI 15-16 YIELD'!$D50</f>
        <v>0</v>
      </c>
      <c r="J588">
        <f>J231*'WK3 - Notional GI 15-16 YIELD'!$D50</f>
        <v>0</v>
      </c>
      <c r="K588">
        <f>K231*'WK3 - Notional GI 15-16 YIELD'!$D50</f>
        <v>0</v>
      </c>
      <c r="L588">
        <f>L231*'WK3 - Notional GI 15-16 YIELD'!$D50</f>
        <v>0</v>
      </c>
    </row>
    <row r="589" spans="3:12" hidden="1" x14ac:dyDescent="0.2">
      <c r="C589" t="str">
        <f t="shared" si="289"/>
        <v>Business</v>
      </c>
      <c r="D589" t="str">
        <f t="shared" si="290"/>
        <v/>
      </c>
      <c r="F589">
        <f>F232*'WK3 - Notional GI 15-16 YIELD'!$D51</f>
        <v>0</v>
      </c>
      <c r="G589">
        <f>G232*'WK3 - Notional GI 15-16 YIELD'!$D51</f>
        <v>0</v>
      </c>
      <c r="H589">
        <f>H232*'WK3 - Notional GI 15-16 YIELD'!$D51</f>
        <v>0</v>
      </c>
      <c r="I589">
        <f>I232*'WK3 - Notional GI 15-16 YIELD'!$D51</f>
        <v>0</v>
      </c>
      <c r="J589">
        <f>J232*'WK3 - Notional GI 15-16 YIELD'!$D51</f>
        <v>0</v>
      </c>
      <c r="K589">
        <f>K232*'WK3 - Notional GI 15-16 YIELD'!$D51</f>
        <v>0</v>
      </c>
      <c r="L589">
        <f>L232*'WK3 - Notional GI 15-16 YIELD'!$D51</f>
        <v>0</v>
      </c>
    </row>
    <row r="590" spans="3:12" hidden="1" x14ac:dyDescent="0.2">
      <c r="C590" t="str">
        <f t="shared" si="289"/>
        <v>Business</v>
      </c>
      <c r="D590" t="str">
        <f t="shared" si="290"/>
        <v/>
      </c>
      <c r="F590">
        <f>F233*'WK3 - Notional GI 15-16 YIELD'!$D52</f>
        <v>0</v>
      </c>
      <c r="G590">
        <f>G233*'WK3 - Notional GI 15-16 YIELD'!$D52</f>
        <v>0</v>
      </c>
      <c r="H590">
        <f>H233*'WK3 - Notional GI 15-16 YIELD'!$D52</f>
        <v>0</v>
      </c>
      <c r="I590">
        <f>I233*'WK3 - Notional GI 15-16 YIELD'!$D52</f>
        <v>0</v>
      </c>
      <c r="J590">
        <f>J233*'WK3 - Notional GI 15-16 YIELD'!$D52</f>
        <v>0</v>
      </c>
      <c r="K590">
        <f>K233*'WK3 - Notional GI 15-16 YIELD'!$D52</f>
        <v>0</v>
      </c>
      <c r="L590">
        <f>L233*'WK3 - Notional GI 15-16 YIELD'!$D52</f>
        <v>0</v>
      </c>
    </row>
    <row r="591" spans="3:12" hidden="1" x14ac:dyDescent="0.2">
      <c r="C591" t="str">
        <f t="shared" si="289"/>
        <v>Business</v>
      </c>
      <c r="D591" t="str">
        <f t="shared" si="290"/>
        <v/>
      </c>
      <c r="F591">
        <f>F234*'WK3 - Notional GI 15-16 YIELD'!$D53</f>
        <v>0</v>
      </c>
      <c r="G591">
        <f>G234*'WK3 - Notional GI 15-16 YIELD'!$D53</f>
        <v>0</v>
      </c>
      <c r="H591">
        <f>H234*'WK3 - Notional GI 15-16 YIELD'!$D53</f>
        <v>0</v>
      </c>
      <c r="I591">
        <f>I234*'WK3 - Notional GI 15-16 YIELD'!$D53</f>
        <v>0</v>
      </c>
      <c r="J591">
        <f>J234*'WK3 - Notional GI 15-16 YIELD'!$D53</f>
        <v>0</v>
      </c>
      <c r="K591">
        <f>K234*'WK3 - Notional GI 15-16 YIELD'!$D53</f>
        <v>0</v>
      </c>
      <c r="L591">
        <f>L234*'WK3 - Notional GI 15-16 YIELD'!$D53</f>
        <v>0</v>
      </c>
    </row>
    <row r="592" spans="3:12" hidden="1" x14ac:dyDescent="0.2">
      <c r="C592" t="str">
        <f t="shared" ref="C592:D611" si="291">C235</f>
        <v>Business</v>
      </c>
      <c r="D592" t="str">
        <f t="shared" si="291"/>
        <v/>
      </c>
      <c r="F592">
        <f>F235*'WK3 - Notional GI 15-16 YIELD'!$D54</f>
        <v>0</v>
      </c>
      <c r="G592">
        <f>G235*'WK3 - Notional GI 15-16 YIELD'!$D54</f>
        <v>0</v>
      </c>
      <c r="H592">
        <f>H235*'WK3 - Notional GI 15-16 YIELD'!$D54</f>
        <v>0</v>
      </c>
      <c r="I592">
        <f>I235*'WK3 - Notional GI 15-16 YIELD'!$D54</f>
        <v>0</v>
      </c>
      <c r="J592">
        <f>J235*'WK3 - Notional GI 15-16 YIELD'!$D54</f>
        <v>0</v>
      </c>
      <c r="K592">
        <f>K235*'WK3 - Notional GI 15-16 YIELD'!$D54</f>
        <v>0</v>
      </c>
      <c r="L592">
        <f>L235*'WK3 - Notional GI 15-16 YIELD'!$D54</f>
        <v>0</v>
      </c>
    </row>
    <row r="593" spans="3:12" hidden="1" x14ac:dyDescent="0.2">
      <c r="C593" t="str">
        <f t="shared" si="291"/>
        <v>Business</v>
      </c>
      <c r="D593" t="str">
        <f t="shared" si="291"/>
        <v/>
      </c>
      <c r="F593">
        <f>F236*'WK3 - Notional GI 15-16 YIELD'!$D55</f>
        <v>0</v>
      </c>
      <c r="G593">
        <f>G236*'WK3 - Notional GI 15-16 YIELD'!$D55</f>
        <v>0</v>
      </c>
      <c r="H593">
        <f>H236*'WK3 - Notional GI 15-16 YIELD'!$D55</f>
        <v>0</v>
      </c>
      <c r="I593">
        <f>I236*'WK3 - Notional GI 15-16 YIELD'!$D55</f>
        <v>0</v>
      </c>
      <c r="J593">
        <f>J236*'WK3 - Notional GI 15-16 YIELD'!$D55</f>
        <v>0</v>
      </c>
      <c r="K593">
        <f>K236*'WK3 - Notional GI 15-16 YIELD'!$D55</f>
        <v>0</v>
      </c>
      <c r="L593">
        <f>L236*'WK3 - Notional GI 15-16 YIELD'!$D55</f>
        <v>0</v>
      </c>
    </row>
    <row r="594" spans="3:12" hidden="1" x14ac:dyDescent="0.2">
      <c r="C594" t="str">
        <f t="shared" si="291"/>
        <v>Business</v>
      </c>
      <c r="D594" t="str">
        <f t="shared" si="291"/>
        <v/>
      </c>
      <c r="F594">
        <f>F237*'WK3 - Notional GI 15-16 YIELD'!$D56</f>
        <v>0</v>
      </c>
      <c r="G594">
        <f>G237*'WK3 - Notional GI 15-16 YIELD'!$D56</f>
        <v>0</v>
      </c>
      <c r="H594">
        <f>H237*'WK3 - Notional GI 15-16 YIELD'!$D56</f>
        <v>0</v>
      </c>
      <c r="I594">
        <f>I237*'WK3 - Notional GI 15-16 YIELD'!$D56</f>
        <v>0</v>
      </c>
      <c r="J594">
        <f>J237*'WK3 - Notional GI 15-16 YIELD'!$D56</f>
        <v>0</v>
      </c>
      <c r="K594">
        <f>K237*'WK3 - Notional GI 15-16 YIELD'!$D56</f>
        <v>0</v>
      </c>
      <c r="L594">
        <f>L237*'WK3 - Notional GI 15-16 YIELD'!$D56</f>
        <v>0</v>
      </c>
    </row>
    <row r="595" spans="3:12" hidden="1" x14ac:dyDescent="0.2">
      <c r="C595" t="str">
        <f t="shared" si="291"/>
        <v>Business</v>
      </c>
      <c r="D595" t="str">
        <f t="shared" si="291"/>
        <v/>
      </c>
      <c r="F595">
        <f>F238*'WK3 - Notional GI 15-16 YIELD'!$D57</f>
        <v>0</v>
      </c>
      <c r="G595">
        <f>G238*'WK3 - Notional GI 15-16 YIELD'!$D57</f>
        <v>0</v>
      </c>
      <c r="H595">
        <f>H238*'WK3 - Notional GI 15-16 YIELD'!$D57</f>
        <v>0</v>
      </c>
      <c r="I595">
        <f>I238*'WK3 - Notional GI 15-16 YIELD'!$D57</f>
        <v>0</v>
      </c>
      <c r="J595">
        <f>J238*'WK3 - Notional GI 15-16 YIELD'!$D57</f>
        <v>0</v>
      </c>
      <c r="K595">
        <f>K238*'WK3 - Notional GI 15-16 YIELD'!$D57</f>
        <v>0</v>
      </c>
      <c r="L595">
        <f>L238*'WK3 - Notional GI 15-16 YIELD'!$D57</f>
        <v>0</v>
      </c>
    </row>
    <row r="596" spans="3:12" hidden="1" x14ac:dyDescent="0.2">
      <c r="C596" t="str">
        <f t="shared" si="291"/>
        <v>Business</v>
      </c>
      <c r="D596" t="str">
        <f t="shared" si="291"/>
        <v/>
      </c>
      <c r="F596">
        <f>F239*'WK3 - Notional GI 15-16 YIELD'!$D58</f>
        <v>0</v>
      </c>
      <c r="G596">
        <f>G239*'WK3 - Notional GI 15-16 YIELD'!$D58</f>
        <v>0</v>
      </c>
      <c r="H596">
        <f>H239*'WK3 - Notional GI 15-16 YIELD'!$D58</f>
        <v>0</v>
      </c>
      <c r="I596">
        <f>I239*'WK3 - Notional GI 15-16 YIELD'!$D58</f>
        <v>0</v>
      </c>
      <c r="J596">
        <f>J239*'WK3 - Notional GI 15-16 YIELD'!$D58</f>
        <v>0</v>
      </c>
      <c r="K596">
        <f>K239*'WK3 - Notional GI 15-16 YIELD'!$D58</f>
        <v>0</v>
      </c>
      <c r="L596">
        <f>L239*'WK3 - Notional GI 15-16 YIELD'!$D58</f>
        <v>0</v>
      </c>
    </row>
    <row r="597" spans="3:12" hidden="1" x14ac:dyDescent="0.2">
      <c r="C597" t="str">
        <f t="shared" si="291"/>
        <v>Special rate</v>
      </c>
      <c r="D597" t="str">
        <f t="shared" si="291"/>
        <v>Jerberra Electricity Infrastructure</v>
      </c>
      <c r="F597">
        <f>F240*'WK3 - Notional GI 15-16 YIELD'!$D101</f>
        <v>0</v>
      </c>
      <c r="G597">
        <f>G240*'WK3 - Notional GI 15-16 YIELD'!$D101</f>
        <v>0</v>
      </c>
      <c r="H597">
        <f>H240*'WK3 - Notional GI 15-16 YIELD'!$D101</f>
        <v>0</v>
      </c>
      <c r="I597">
        <f>I240*'WK3 - Notional GI 15-16 YIELD'!$D101</f>
        <v>0</v>
      </c>
      <c r="J597">
        <f>J240*'WK3 - Notional GI 15-16 YIELD'!$D101</f>
        <v>0</v>
      </c>
      <c r="K597">
        <f>K240*'WK3 - Notional GI 15-16 YIELD'!$D101</f>
        <v>0</v>
      </c>
      <c r="L597">
        <f>L240*'WK3 - Notional GI 15-16 YIELD'!$D101</f>
        <v>0</v>
      </c>
    </row>
    <row r="598" spans="3:12" hidden="1" x14ac:dyDescent="0.2">
      <c r="C598" t="str">
        <f t="shared" si="291"/>
        <v>Special rate</v>
      </c>
      <c r="D598" t="str">
        <f t="shared" ref="D598:D611" si="292">D241</f>
        <v>Jerberra Road - E2 Infrastructure</v>
      </c>
      <c r="F598">
        <f>F241*'WK3 - Notional GI 15-16 YIELD'!$D102</f>
        <v>0</v>
      </c>
      <c r="G598">
        <f>G241*'WK3 - Notional GI 15-16 YIELD'!$D102</f>
        <v>0</v>
      </c>
      <c r="H598">
        <f>H241*'WK3 - Notional GI 15-16 YIELD'!$D102</f>
        <v>0</v>
      </c>
      <c r="I598">
        <f>I241*'WK3 - Notional GI 15-16 YIELD'!$D102</f>
        <v>0</v>
      </c>
      <c r="J598">
        <f>J241*'WK3 - Notional GI 15-16 YIELD'!$D102</f>
        <v>0</v>
      </c>
      <c r="K598">
        <f>K241*'WK3 - Notional GI 15-16 YIELD'!$D102</f>
        <v>0</v>
      </c>
      <c r="L598">
        <f>L241*'WK3 - Notional GI 15-16 YIELD'!$D102</f>
        <v>0</v>
      </c>
    </row>
    <row r="599" spans="3:12" hidden="1" x14ac:dyDescent="0.2">
      <c r="C599" t="str">
        <f t="shared" si="291"/>
        <v>Special rate</v>
      </c>
      <c r="D599" t="str">
        <f t="shared" si="292"/>
        <v/>
      </c>
      <c r="F599">
        <f>F242*'WK3 - Notional GI 15-16 YIELD'!$D103</f>
        <v>0</v>
      </c>
      <c r="G599">
        <f>G242*'WK3 - Notional GI 15-16 YIELD'!$D103</f>
        <v>0</v>
      </c>
      <c r="H599">
        <f>H242*'WK3 - Notional GI 15-16 YIELD'!$D103</f>
        <v>0</v>
      </c>
      <c r="I599">
        <f>I242*'WK3 - Notional GI 15-16 YIELD'!$D103</f>
        <v>0</v>
      </c>
      <c r="J599">
        <f>J242*'WK3 - Notional GI 15-16 YIELD'!$D103</f>
        <v>0</v>
      </c>
      <c r="K599">
        <f>K242*'WK3 - Notional GI 15-16 YIELD'!$D103</f>
        <v>0</v>
      </c>
      <c r="L599">
        <f>L242*'WK3 - Notional GI 15-16 YIELD'!$D103</f>
        <v>0</v>
      </c>
    </row>
    <row r="600" spans="3:12" hidden="1" x14ac:dyDescent="0.2">
      <c r="C600" t="str">
        <f t="shared" si="291"/>
        <v>Special rate</v>
      </c>
      <c r="D600" t="str">
        <f t="shared" si="292"/>
        <v/>
      </c>
      <c r="F600">
        <f>F243*'WK3 - Notional GI 15-16 YIELD'!$D104</f>
        <v>0</v>
      </c>
      <c r="G600">
        <f>G243*'WK3 - Notional GI 15-16 YIELD'!$D104</f>
        <v>0</v>
      </c>
      <c r="H600">
        <f>H243*'WK3 - Notional GI 15-16 YIELD'!$D104</f>
        <v>0</v>
      </c>
      <c r="I600">
        <f>I243*'WK3 - Notional GI 15-16 YIELD'!$D104</f>
        <v>0</v>
      </c>
      <c r="J600">
        <f>J243*'WK3 - Notional GI 15-16 YIELD'!$D104</f>
        <v>0</v>
      </c>
      <c r="K600">
        <f>K243*'WK3 - Notional GI 15-16 YIELD'!$D104</f>
        <v>0</v>
      </c>
      <c r="L600">
        <f>L243*'WK3 - Notional GI 15-16 YIELD'!$D104</f>
        <v>0</v>
      </c>
    </row>
    <row r="601" spans="3:12" hidden="1" x14ac:dyDescent="0.2">
      <c r="C601" t="str">
        <f t="shared" si="291"/>
        <v>Special rate</v>
      </c>
      <c r="D601" t="str">
        <f t="shared" si="292"/>
        <v/>
      </c>
      <c r="F601">
        <f>F244*'WK3 - Notional GI 15-16 YIELD'!$D105</f>
        <v>0</v>
      </c>
      <c r="G601">
        <f>G244*'WK3 - Notional GI 15-16 YIELD'!$D105</f>
        <v>0</v>
      </c>
      <c r="H601">
        <f>H244*'WK3 - Notional GI 15-16 YIELD'!$D105</f>
        <v>0</v>
      </c>
      <c r="I601">
        <f>I244*'WK3 - Notional GI 15-16 YIELD'!$D105</f>
        <v>0</v>
      </c>
      <c r="J601">
        <f>J244*'WK3 - Notional GI 15-16 YIELD'!$D105</f>
        <v>0</v>
      </c>
      <c r="K601">
        <f>K244*'WK3 - Notional GI 15-16 YIELD'!$D105</f>
        <v>0</v>
      </c>
      <c r="L601">
        <f>L244*'WK3 - Notional GI 15-16 YIELD'!$D105</f>
        <v>0</v>
      </c>
    </row>
    <row r="602" spans="3:12" hidden="1" x14ac:dyDescent="0.2">
      <c r="C602" t="str">
        <f t="shared" si="291"/>
        <v>Special rate</v>
      </c>
      <c r="D602" t="str">
        <f t="shared" si="292"/>
        <v/>
      </c>
      <c r="F602">
        <f>F245*'WK3 - Notional GI 15-16 YIELD'!$D106</f>
        <v>0</v>
      </c>
      <c r="G602">
        <f>G245*'WK3 - Notional GI 15-16 YIELD'!$D106</f>
        <v>0</v>
      </c>
      <c r="H602">
        <f>H245*'WK3 - Notional GI 15-16 YIELD'!$D106</f>
        <v>0</v>
      </c>
      <c r="I602">
        <f>I245*'WK3 - Notional GI 15-16 YIELD'!$D106</f>
        <v>0</v>
      </c>
      <c r="J602">
        <f>J245*'WK3 - Notional GI 15-16 YIELD'!$D106</f>
        <v>0</v>
      </c>
      <c r="K602">
        <f>K245*'WK3 - Notional GI 15-16 YIELD'!$D106</f>
        <v>0</v>
      </c>
      <c r="L602">
        <f>L245*'WK3 - Notional GI 15-16 YIELD'!$D106</f>
        <v>0</v>
      </c>
    </row>
    <row r="603" spans="3:12" hidden="1" x14ac:dyDescent="0.2">
      <c r="C603" t="str">
        <f t="shared" si="291"/>
        <v>Special rate</v>
      </c>
      <c r="D603" t="str">
        <f t="shared" si="292"/>
        <v/>
      </c>
      <c r="F603">
        <f>F246*'WK3 - Notional GI 15-16 YIELD'!$D107</f>
        <v>0</v>
      </c>
      <c r="G603">
        <f>G246*'WK3 - Notional GI 15-16 YIELD'!$D107</f>
        <v>0</v>
      </c>
      <c r="H603">
        <f>H246*'WK3 - Notional GI 15-16 YIELD'!$D107</f>
        <v>0</v>
      </c>
      <c r="I603">
        <f>I246*'WK3 - Notional GI 15-16 YIELD'!$D107</f>
        <v>0</v>
      </c>
      <c r="J603">
        <f>J246*'WK3 - Notional GI 15-16 YIELD'!$D107</f>
        <v>0</v>
      </c>
      <c r="K603">
        <f>K246*'WK3 - Notional GI 15-16 YIELD'!$D107</f>
        <v>0</v>
      </c>
      <c r="L603">
        <f>L246*'WK3 - Notional GI 15-16 YIELD'!$D107</f>
        <v>0</v>
      </c>
    </row>
    <row r="604" spans="3:12" hidden="1" x14ac:dyDescent="0.2">
      <c r="C604" t="str">
        <f t="shared" si="291"/>
        <v>Special rate</v>
      </c>
      <c r="D604" t="str">
        <f t="shared" si="292"/>
        <v/>
      </c>
      <c r="F604">
        <f>F247*'WK3 - Notional GI 15-16 YIELD'!$D108</f>
        <v>0</v>
      </c>
      <c r="G604">
        <f>G247*'WK3 - Notional GI 15-16 YIELD'!$D108</f>
        <v>0</v>
      </c>
      <c r="H604">
        <f>H247*'WK3 - Notional GI 15-16 YIELD'!$D108</f>
        <v>0</v>
      </c>
      <c r="I604">
        <f>I247*'WK3 - Notional GI 15-16 YIELD'!$D108</f>
        <v>0</v>
      </c>
      <c r="J604">
        <f>J247*'WK3 - Notional GI 15-16 YIELD'!$D108</f>
        <v>0</v>
      </c>
      <c r="K604">
        <f>K247*'WK3 - Notional GI 15-16 YIELD'!$D108</f>
        <v>0</v>
      </c>
      <c r="L604">
        <f>L247*'WK3 - Notional GI 15-16 YIELD'!$D108</f>
        <v>0</v>
      </c>
    </row>
    <row r="605" spans="3:12" hidden="1" x14ac:dyDescent="0.2">
      <c r="C605" t="str">
        <f t="shared" si="291"/>
        <v>Special rate</v>
      </c>
      <c r="D605" t="str">
        <f t="shared" si="292"/>
        <v/>
      </c>
      <c r="F605">
        <f>F248*'WK3 - Notional GI 15-16 YIELD'!$D109</f>
        <v>0</v>
      </c>
      <c r="G605">
        <f>G248*'WK3 - Notional GI 15-16 YIELD'!$D109</f>
        <v>0</v>
      </c>
      <c r="H605">
        <f>H248*'WK3 - Notional GI 15-16 YIELD'!$D109</f>
        <v>0</v>
      </c>
      <c r="I605">
        <f>I248*'WK3 - Notional GI 15-16 YIELD'!$D109</f>
        <v>0</v>
      </c>
      <c r="J605">
        <f>J248*'WK3 - Notional GI 15-16 YIELD'!$D109</f>
        <v>0</v>
      </c>
      <c r="K605">
        <f>K248*'WK3 - Notional GI 15-16 YIELD'!$D109</f>
        <v>0</v>
      </c>
      <c r="L605">
        <f>L248*'WK3 - Notional GI 15-16 YIELD'!$D109</f>
        <v>0</v>
      </c>
    </row>
    <row r="606" spans="3:12" hidden="1" x14ac:dyDescent="0.2">
      <c r="C606" t="str">
        <f t="shared" si="291"/>
        <v>Special rate</v>
      </c>
      <c r="D606" t="str">
        <f t="shared" si="292"/>
        <v/>
      </c>
      <c r="F606">
        <f>F249*'WK3 - Notional GI 15-16 YIELD'!$D110</f>
        <v>0</v>
      </c>
      <c r="G606">
        <f>G249*'WK3 - Notional GI 15-16 YIELD'!$D110</f>
        <v>0</v>
      </c>
      <c r="H606">
        <f>H249*'WK3 - Notional GI 15-16 YIELD'!$D110</f>
        <v>0</v>
      </c>
      <c r="I606">
        <f>I249*'WK3 - Notional GI 15-16 YIELD'!$D110</f>
        <v>0</v>
      </c>
      <c r="J606">
        <f>J249*'WK3 - Notional GI 15-16 YIELD'!$D110</f>
        <v>0</v>
      </c>
      <c r="K606">
        <f>K249*'WK3 - Notional GI 15-16 YIELD'!$D110</f>
        <v>0</v>
      </c>
      <c r="L606">
        <f>L249*'WK3 - Notional GI 15-16 YIELD'!$D110</f>
        <v>0</v>
      </c>
    </row>
    <row r="607" spans="3:12" hidden="1" x14ac:dyDescent="0.2">
      <c r="C607" t="str">
        <f t="shared" si="291"/>
        <v>Special rate</v>
      </c>
      <c r="D607" t="str">
        <f t="shared" si="292"/>
        <v/>
      </c>
      <c r="F607">
        <f>F250*'WK3 - Notional GI 15-16 YIELD'!$D111</f>
        <v>0</v>
      </c>
      <c r="G607">
        <f>G250*'WK3 - Notional GI 15-16 YIELD'!$D111</f>
        <v>0</v>
      </c>
      <c r="H607">
        <f>H250*'WK3 - Notional GI 15-16 YIELD'!$D111</f>
        <v>0</v>
      </c>
      <c r="I607">
        <f>I250*'WK3 - Notional GI 15-16 YIELD'!$D111</f>
        <v>0</v>
      </c>
      <c r="J607">
        <f>J250*'WK3 - Notional GI 15-16 YIELD'!$D111</f>
        <v>0</v>
      </c>
      <c r="K607">
        <f>K250*'WK3 - Notional GI 15-16 YIELD'!$D111</f>
        <v>0</v>
      </c>
      <c r="L607">
        <f>L250*'WK3 - Notional GI 15-16 YIELD'!$D111</f>
        <v>0</v>
      </c>
    </row>
    <row r="608" spans="3:12" hidden="1" x14ac:dyDescent="0.2">
      <c r="C608" t="str">
        <f t="shared" si="291"/>
        <v>Special rate</v>
      </c>
      <c r="D608" t="str">
        <f t="shared" si="292"/>
        <v/>
      </c>
      <c r="F608">
        <f>F251*'WK3 - Notional GI 15-16 YIELD'!$D112</f>
        <v>0</v>
      </c>
      <c r="G608">
        <f>G251*'WK3 - Notional GI 15-16 YIELD'!$D112</f>
        <v>0</v>
      </c>
      <c r="H608">
        <f>H251*'WK3 - Notional GI 15-16 YIELD'!$D112</f>
        <v>0</v>
      </c>
      <c r="I608">
        <f>I251*'WK3 - Notional GI 15-16 YIELD'!$D112</f>
        <v>0</v>
      </c>
      <c r="J608">
        <f>J251*'WK3 - Notional GI 15-16 YIELD'!$D112</f>
        <v>0</v>
      </c>
      <c r="K608">
        <f>K251*'WK3 - Notional GI 15-16 YIELD'!$D112</f>
        <v>0</v>
      </c>
      <c r="L608">
        <f>L251*'WK3 - Notional GI 15-16 YIELD'!$D112</f>
        <v>0</v>
      </c>
    </row>
    <row r="609" spans="3:13" hidden="1" x14ac:dyDescent="0.2">
      <c r="C609" t="str">
        <f t="shared" si="291"/>
        <v>Special rate</v>
      </c>
      <c r="D609" t="str">
        <f t="shared" si="292"/>
        <v/>
      </c>
      <c r="F609">
        <f>F252*'WK3 - Notional GI 15-16 YIELD'!$D113</f>
        <v>0</v>
      </c>
      <c r="G609">
        <f>G252*'WK3 - Notional GI 15-16 YIELD'!$D113</f>
        <v>0</v>
      </c>
      <c r="H609">
        <f>H252*'WK3 - Notional GI 15-16 YIELD'!$D113</f>
        <v>0</v>
      </c>
      <c r="I609">
        <f>I252*'WK3 - Notional GI 15-16 YIELD'!$D113</f>
        <v>0</v>
      </c>
      <c r="J609">
        <f>J252*'WK3 - Notional GI 15-16 YIELD'!$D113</f>
        <v>0</v>
      </c>
      <c r="K609">
        <f>K252*'WK3 - Notional GI 15-16 YIELD'!$D113</f>
        <v>0</v>
      </c>
      <c r="L609">
        <f>L252*'WK3 - Notional GI 15-16 YIELD'!$D113</f>
        <v>0</v>
      </c>
    </row>
    <row r="610" spans="3:13" hidden="1" x14ac:dyDescent="0.2">
      <c r="C610" t="str">
        <f t="shared" si="291"/>
        <v>Special rate</v>
      </c>
      <c r="D610" t="str">
        <f t="shared" si="292"/>
        <v/>
      </c>
      <c r="F610">
        <f>F253*'WK3 - Notional GI 15-16 YIELD'!$D114</f>
        <v>0</v>
      </c>
      <c r="G610">
        <f>G253*'WK3 - Notional GI 15-16 YIELD'!$D114</f>
        <v>0</v>
      </c>
      <c r="H610">
        <f>H253*'WK3 - Notional GI 15-16 YIELD'!$D114</f>
        <v>0</v>
      </c>
      <c r="I610">
        <f>I253*'WK3 - Notional GI 15-16 YIELD'!$D114</f>
        <v>0</v>
      </c>
      <c r="J610">
        <f>J253*'WK3 - Notional GI 15-16 YIELD'!$D114</f>
        <v>0</v>
      </c>
      <c r="K610">
        <f>K253*'WK3 - Notional GI 15-16 YIELD'!$D114</f>
        <v>0</v>
      </c>
      <c r="L610">
        <f>L253*'WK3 - Notional GI 15-16 YIELD'!$D114</f>
        <v>0</v>
      </c>
    </row>
    <row r="611" spans="3:13" hidden="1" x14ac:dyDescent="0.2">
      <c r="C611" t="str">
        <f t="shared" si="291"/>
        <v>Special rate</v>
      </c>
      <c r="D611" t="str">
        <f t="shared" si="292"/>
        <v/>
      </c>
      <c r="F611">
        <f>F254*'WK3 - Notional GI 15-16 YIELD'!$D115</f>
        <v>0</v>
      </c>
      <c r="G611">
        <f>G254*'WK3 - Notional GI 15-16 YIELD'!$D115</f>
        <v>0</v>
      </c>
      <c r="H611">
        <f>H254*'WK3 - Notional GI 15-16 YIELD'!$D115</f>
        <v>0</v>
      </c>
      <c r="I611">
        <f>I254*'WK3 - Notional GI 15-16 YIELD'!$D115</f>
        <v>0</v>
      </c>
      <c r="J611">
        <f>J254*'WK3 - Notional GI 15-16 YIELD'!$D115</f>
        <v>0</v>
      </c>
      <c r="K611">
        <f>K254*'WK3 - Notional GI 15-16 YIELD'!$D115</f>
        <v>0</v>
      </c>
      <c r="L611">
        <f>L254*'WK3 - Notional GI 15-16 YIELD'!$D115</f>
        <v>0</v>
      </c>
    </row>
    <row r="612" spans="3:13" hidden="1" x14ac:dyDescent="0.2">
      <c r="C612" t="str">
        <f t="shared" ref="C612:D616" si="293">C255</f>
        <v>Special rate</v>
      </c>
      <c r="D612" t="str">
        <f t="shared" si="293"/>
        <v/>
      </c>
      <c r="F612">
        <f>F255*'WK3 - Notional GI 15-16 YIELD'!$D116</f>
        <v>0</v>
      </c>
      <c r="G612">
        <f>G255*'WK3 - Notional GI 15-16 YIELD'!$D116</f>
        <v>0</v>
      </c>
      <c r="H612">
        <f>H255*'WK3 - Notional GI 15-16 YIELD'!$D116</f>
        <v>0</v>
      </c>
      <c r="I612">
        <f>I255*'WK3 - Notional GI 15-16 YIELD'!$D116</f>
        <v>0</v>
      </c>
      <c r="J612">
        <f>J255*'WK3 - Notional GI 15-16 YIELD'!$D116</f>
        <v>0</v>
      </c>
      <c r="K612">
        <f>K255*'WK3 - Notional GI 15-16 YIELD'!$D116</f>
        <v>0</v>
      </c>
      <c r="L612">
        <f>L255*'WK3 - Notional GI 15-16 YIELD'!$D116</f>
        <v>0</v>
      </c>
    </row>
    <row r="613" spans="3:13" hidden="1" x14ac:dyDescent="0.2">
      <c r="C613" t="str">
        <f t="shared" si="293"/>
        <v>Special rate</v>
      </c>
      <c r="D613" t="str">
        <f t="shared" si="293"/>
        <v/>
      </c>
      <c r="F613">
        <f>F256*'WK3 - Notional GI 15-16 YIELD'!$D117</f>
        <v>0</v>
      </c>
      <c r="G613">
        <f>G256*'WK3 - Notional GI 15-16 YIELD'!$D117</f>
        <v>0</v>
      </c>
      <c r="H613">
        <f>H256*'WK3 - Notional GI 15-16 YIELD'!$D117</f>
        <v>0</v>
      </c>
      <c r="I613">
        <f>I256*'WK3 - Notional GI 15-16 YIELD'!$D117</f>
        <v>0</v>
      </c>
      <c r="J613">
        <f>J256*'WK3 - Notional GI 15-16 YIELD'!$D117</f>
        <v>0</v>
      </c>
      <c r="K613">
        <f>K256*'WK3 - Notional GI 15-16 YIELD'!$D117</f>
        <v>0</v>
      </c>
      <c r="L613">
        <f>L256*'WK3 - Notional GI 15-16 YIELD'!$D117</f>
        <v>0</v>
      </c>
    </row>
    <row r="614" spans="3:13" hidden="1" x14ac:dyDescent="0.2">
      <c r="C614" t="str">
        <f t="shared" si="293"/>
        <v>Special rate</v>
      </c>
      <c r="D614" t="str">
        <f t="shared" si="293"/>
        <v/>
      </c>
      <c r="F614">
        <f>F257*'WK3 - Notional GI 15-16 YIELD'!$D118</f>
        <v>0</v>
      </c>
      <c r="G614">
        <f>G257*'WK3 - Notional GI 15-16 YIELD'!$D118</f>
        <v>0</v>
      </c>
      <c r="H614">
        <f>H257*'WK3 - Notional GI 15-16 YIELD'!$D118</f>
        <v>0</v>
      </c>
      <c r="I614">
        <f>I257*'WK3 - Notional GI 15-16 YIELD'!$D118</f>
        <v>0</v>
      </c>
      <c r="J614">
        <f>J257*'WK3 - Notional GI 15-16 YIELD'!$D118</f>
        <v>0</v>
      </c>
      <c r="K614">
        <f>K257*'WK3 - Notional GI 15-16 YIELD'!$D118</f>
        <v>0</v>
      </c>
      <c r="L614">
        <f>L257*'WK3 - Notional GI 15-16 YIELD'!$D118</f>
        <v>0</v>
      </c>
    </row>
    <row r="615" spans="3:13" hidden="1" x14ac:dyDescent="0.2">
      <c r="C615" t="str">
        <f t="shared" si="293"/>
        <v>Special rate</v>
      </c>
      <c r="D615" t="str">
        <f t="shared" si="293"/>
        <v/>
      </c>
      <c r="F615">
        <f>F258*'WK3 - Notional GI 15-16 YIELD'!$D119</f>
        <v>0</v>
      </c>
      <c r="G615">
        <f>G258*'WK3 - Notional GI 15-16 YIELD'!$D119</f>
        <v>0</v>
      </c>
      <c r="H615">
        <f>H258*'WK3 - Notional GI 15-16 YIELD'!$D119</f>
        <v>0</v>
      </c>
      <c r="I615">
        <f>I258*'WK3 - Notional GI 15-16 YIELD'!$D119</f>
        <v>0</v>
      </c>
      <c r="J615">
        <f>J258*'WK3 - Notional GI 15-16 YIELD'!$D119</f>
        <v>0</v>
      </c>
      <c r="K615">
        <f>K258*'WK3 - Notional GI 15-16 YIELD'!$D119</f>
        <v>0</v>
      </c>
      <c r="L615">
        <f>L258*'WK3 - Notional GI 15-16 YIELD'!$D119</f>
        <v>0</v>
      </c>
    </row>
    <row r="616" spans="3:13" hidden="1" x14ac:dyDescent="0.2">
      <c r="C616" t="str">
        <f t="shared" si="293"/>
        <v>Special rate</v>
      </c>
      <c r="D616" t="str">
        <f t="shared" si="293"/>
        <v/>
      </c>
      <c r="F616">
        <f>F259*'WK3 - Notional GI 15-16 YIELD'!$D120</f>
        <v>0</v>
      </c>
      <c r="G616">
        <f>G259*'WK3 - Notional GI 15-16 YIELD'!$D120</f>
        <v>0</v>
      </c>
      <c r="H616">
        <f>H259*'WK3 - Notional GI 15-16 YIELD'!$D120</f>
        <v>0</v>
      </c>
      <c r="I616">
        <f>I259*'WK3 - Notional GI 15-16 YIELD'!$D120</f>
        <v>0</v>
      </c>
      <c r="J616">
        <f>J259*'WK3 - Notional GI 15-16 YIELD'!$D120</f>
        <v>0</v>
      </c>
      <c r="K616">
        <f>K259*'WK3 - Notional GI 15-16 YIELD'!$D120</f>
        <v>0</v>
      </c>
      <c r="L616">
        <f>L259*'WK3 - Notional GI 15-16 YIELD'!$D120</f>
        <v>0</v>
      </c>
    </row>
    <row r="617" spans="3:13" s="165" customFormat="1" hidden="1" x14ac:dyDescent="0.2">
      <c r="D617" s="165" t="str">
        <f>D493</f>
        <v>TOTAL INCOME FROM BUSINESS</v>
      </c>
      <c r="F617" s="165">
        <f>SUM(F572:F616)</f>
        <v>4900781.6588964993</v>
      </c>
      <c r="G617" s="165">
        <f t="shared" ref="G617:L617" si="294">SUM(G572:G616)</f>
        <v>5047805.1086633941</v>
      </c>
      <c r="H617" s="165">
        <f t="shared" si="294"/>
        <v>5199239.2619232964</v>
      </c>
      <c r="I617" s="165">
        <f t="shared" si="294"/>
        <v>5355216.4397809943</v>
      </c>
      <c r="J617" s="165">
        <f t="shared" si="294"/>
        <v>5515872.9329744261</v>
      </c>
      <c r="K617" s="165">
        <f t="shared" si="294"/>
        <v>5681349.1209636591</v>
      </c>
      <c r="L617" s="165">
        <f t="shared" si="294"/>
        <v>5851789.5945925675</v>
      </c>
      <c r="M617">
        <f>SUM(M572:M616)</f>
        <v>0</v>
      </c>
    </row>
    <row r="618" spans="3:13" hidden="1" x14ac:dyDescent="0.2">
      <c r="C618" t="str">
        <f>C261</f>
        <v>Farmland</v>
      </c>
      <c r="D618" t="str">
        <f>D261</f>
        <v/>
      </c>
      <c r="F618">
        <f>F261*'WK3 - Notional GI 15-16 YIELD'!$D60</f>
        <v>1714874.1905499999</v>
      </c>
      <c r="G618">
        <f>G261*'WK3 - Notional GI 15-16 YIELD'!$D60</f>
        <v>1766320.4162664998</v>
      </c>
      <c r="H618">
        <f>H261*'WK3 - Notional GI 15-16 YIELD'!$D60</f>
        <v>1819310.0287544951</v>
      </c>
      <c r="I618">
        <f>I261*'WK3 - Notional GI 15-16 YIELD'!$D60</f>
        <v>1873889.3296171301</v>
      </c>
      <c r="J618">
        <f>J261*'WK3 - Notional GI 15-16 YIELD'!$D60</f>
        <v>1930106.009505644</v>
      </c>
      <c r="K618">
        <f>K261*'WK3 - Notional GI 15-16 YIELD'!$D60</f>
        <v>1988009.1897908133</v>
      </c>
      <c r="L618">
        <f>L261*'WK3 - Notional GI 15-16 YIELD'!$D60</f>
        <v>2047649.4654845379</v>
      </c>
    </row>
    <row r="619" spans="3:13" hidden="1" x14ac:dyDescent="0.2">
      <c r="C619" t="str">
        <f t="shared" ref="C619:D627" si="295">C262</f>
        <v>Farmland</v>
      </c>
      <c r="D619" t="str">
        <f t="shared" si="295"/>
        <v>Dairy Farmers</v>
      </c>
      <c r="F619">
        <f>F262*'WK3 - Notional GI 15-16 YIELD'!$D61</f>
        <v>194554.28649999999</v>
      </c>
      <c r="G619">
        <f>G262*'WK3 - Notional GI 15-16 YIELD'!$D61</f>
        <v>200390.915095</v>
      </c>
      <c r="H619">
        <f>H262*'WK3 - Notional GI 15-16 YIELD'!$D61</f>
        <v>206402.64254785</v>
      </c>
      <c r="I619">
        <f>I262*'WK3 - Notional GI 15-16 YIELD'!$D61</f>
        <v>212594.72182428549</v>
      </c>
      <c r="J619">
        <f>J262*'WK3 - Notional GI 15-16 YIELD'!$D61</f>
        <v>218972.56347901406</v>
      </c>
      <c r="K619">
        <f>K262*'WK3 - Notional GI 15-16 YIELD'!$D61</f>
        <v>225541.74038338452</v>
      </c>
      <c r="L619">
        <f>L262*'WK3 - Notional GI 15-16 YIELD'!$D61</f>
        <v>232307.99259488605</v>
      </c>
    </row>
    <row r="620" spans="3:13" hidden="1" x14ac:dyDescent="0.2">
      <c r="C620" t="str">
        <f t="shared" si="295"/>
        <v>Farmland</v>
      </c>
      <c r="D620" t="str">
        <f t="shared" si="295"/>
        <v/>
      </c>
      <c r="F620">
        <f>F263*'WK3 - Notional GI 15-16 YIELD'!$D62</f>
        <v>0</v>
      </c>
      <c r="G620">
        <f>G263*'WK3 - Notional GI 15-16 YIELD'!$D62</f>
        <v>0</v>
      </c>
      <c r="H620">
        <f>H263*'WK3 - Notional GI 15-16 YIELD'!$D62</f>
        <v>0</v>
      </c>
      <c r="I620">
        <f>I263*'WK3 - Notional GI 15-16 YIELD'!$D62</f>
        <v>0</v>
      </c>
      <c r="J620">
        <f>J263*'WK3 - Notional GI 15-16 YIELD'!$D62</f>
        <v>0</v>
      </c>
      <c r="K620">
        <f>K263*'WK3 - Notional GI 15-16 YIELD'!$D62</f>
        <v>0</v>
      </c>
      <c r="L620">
        <f>L263*'WK3 - Notional GI 15-16 YIELD'!$D62</f>
        <v>0</v>
      </c>
    </row>
    <row r="621" spans="3:13" hidden="1" x14ac:dyDescent="0.2">
      <c r="C621" t="str">
        <f t="shared" si="295"/>
        <v>Farmland</v>
      </c>
      <c r="D621" t="str">
        <f t="shared" si="295"/>
        <v/>
      </c>
      <c r="F621">
        <f>F264*'WK3 - Notional GI 15-16 YIELD'!$D63</f>
        <v>0</v>
      </c>
      <c r="G621">
        <f>G264*'WK3 - Notional GI 15-16 YIELD'!$D63</f>
        <v>0</v>
      </c>
      <c r="H621">
        <f>H264*'WK3 - Notional GI 15-16 YIELD'!$D63</f>
        <v>0</v>
      </c>
      <c r="I621">
        <f>I264*'WK3 - Notional GI 15-16 YIELD'!$D63</f>
        <v>0</v>
      </c>
      <c r="J621">
        <f>J264*'WK3 - Notional GI 15-16 YIELD'!$D63</f>
        <v>0</v>
      </c>
      <c r="K621">
        <f>K264*'WK3 - Notional GI 15-16 YIELD'!$D63</f>
        <v>0</v>
      </c>
      <c r="L621">
        <f>L264*'WK3 - Notional GI 15-16 YIELD'!$D63</f>
        <v>0</v>
      </c>
    </row>
    <row r="622" spans="3:13" hidden="1" x14ac:dyDescent="0.2">
      <c r="C622" t="str">
        <f t="shared" si="295"/>
        <v>Farmland</v>
      </c>
      <c r="D622" t="str">
        <f t="shared" si="295"/>
        <v/>
      </c>
      <c r="F622">
        <f>F265*'WK3 - Notional GI 15-16 YIELD'!$D64</f>
        <v>0</v>
      </c>
      <c r="G622">
        <f>G265*'WK3 - Notional GI 15-16 YIELD'!$D64</f>
        <v>0</v>
      </c>
      <c r="H622">
        <f>H265*'WK3 - Notional GI 15-16 YIELD'!$D64</f>
        <v>0</v>
      </c>
      <c r="I622">
        <f>I265*'WK3 - Notional GI 15-16 YIELD'!$D64</f>
        <v>0</v>
      </c>
      <c r="J622">
        <f>J265*'WK3 - Notional GI 15-16 YIELD'!$D64</f>
        <v>0</v>
      </c>
      <c r="K622">
        <f>K265*'WK3 - Notional GI 15-16 YIELD'!$D64</f>
        <v>0</v>
      </c>
      <c r="L622">
        <f>L265*'WK3 - Notional GI 15-16 YIELD'!$D64</f>
        <v>0</v>
      </c>
    </row>
    <row r="623" spans="3:13" hidden="1" x14ac:dyDescent="0.2">
      <c r="C623" t="str">
        <f t="shared" si="295"/>
        <v>Farmland</v>
      </c>
      <c r="D623" t="str">
        <f t="shared" si="295"/>
        <v/>
      </c>
      <c r="F623">
        <f>F266*'WK3 - Notional GI 15-16 YIELD'!$D65</f>
        <v>0</v>
      </c>
      <c r="G623">
        <f>G266*'WK3 - Notional GI 15-16 YIELD'!$D65</f>
        <v>0</v>
      </c>
      <c r="H623">
        <f>H266*'WK3 - Notional GI 15-16 YIELD'!$D65</f>
        <v>0</v>
      </c>
      <c r="I623">
        <f>I266*'WK3 - Notional GI 15-16 YIELD'!$D65</f>
        <v>0</v>
      </c>
      <c r="J623">
        <f>J266*'WK3 - Notional GI 15-16 YIELD'!$D65</f>
        <v>0</v>
      </c>
      <c r="K623">
        <f>K266*'WK3 - Notional GI 15-16 YIELD'!$D65</f>
        <v>0</v>
      </c>
      <c r="L623">
        <f>L266*'WK3 - Notional GI 15-16 YIELD'!$D65</f>
        <v>0</v>
      </c>
    </row>
    <row r="624" spans="3:13" hidden="1" x14ac:dyDescent="0.2">
      <c r="C624" t="str">
        <f t="shared" si="295"/>
        <v>Farmland</v>
      </c>
      <c r="D624" t="str">
        <f t="shared" si="295"/>
        <v/>
      </c>
      <c r="F624">
        <f>F267*'WK3 - Notional GI 15-16 YIELD'!$D66</f>
        <v>0</v>
      </c>
      <c r="G624">
        <f>G267*'WK3 - Notional GI 15-16 YIELD'!$D66</f>
        <v>0</v>
      </c>
      <c r="H624">
        <f>H267*'WK3 - Notional GI 15-16 YIELD'!$D66</f>
        <v>0</v>
      </c>
      <c r="I624">
        <f>I267*'WK3 - Notional GI 15-16 YIELD'!$D66</f>
        <v>0</v>
      </c>
      <c r="J624">
        <f>J267*'WK3 - Notional GI 15-16 YIELD'!$D66</f>
        <v>0</v>
      </c>
      <c r="K624">
        <f>K267*'WK3 - Notional GI 15-16 YIELD'!$D66</f>
        <v>0</v>
      </c>
      <c r="L624">
        <f>L267*'WK3 - Notional GI 15-16 YIELD'!$D66</f>
        <v>0</v>
      </c>
    </row>
    <row r="625" spans="3:12" hidden="1" x14ac:dyDescent="0.2">
      <c r="C625" t="str">
        <f t="shared" si="295"/>
        <v>Farmland</v>
      </c>
      <c r="D625" t="str">
        <f t="shared" si="295"/>
        <v/>
      </c>
      <c r="F625">
        <f>F268*'WK3 - Notional GI 15-16 YIELD'!$D67</f>
        <v>0</v>
      </c>
      <c r="G625">
        <f>G268*'WK3 - Notional GI 15-16 YIELD'!$D67</f>
        <v>0</v>
      </c>
      <c r="H625">
        <f>H268*'WK3 - Notional GI 15-16 YIELD'!$D67</f>
        <v>0</v>
      </c>
      <c r="I625">
        <f>I268*'WK3 - Notional GI 15-16 YIELD'!$D67</f>
        <v>0</v>
      </c>
      <c r="J625">
        <f>J268*'WK3 - Notional GI 15-16 YIELD'!$D67</f>
        <v>0</v>
      </c>
      <c r="K625">
        <f>K268*'WK3 - Notional GI 15-16 YIELD'!$D67</f>
        <v>0</v>
      </c>
      <c r="L625">
        <f>L268*'WK3 - Notional GI 15-16 YIELD'!$D67</f>
        <v>0</v>
      </c>
    </row>
    <row r="626" spans="3:12" hidden="1" x14ac:dyDescent="0.2">
      <c r="C626" t="str">
        <f t="shared" si="295"/>
        <v>Farmland</v>
      </c>
      <c r="D626" t="str">
        <f t="shared" si="295"/>
        <v/>
      </c>
      <c r="F626">
        <f>F269*'WK3 - Notional GI 15-16 YIELD'!$D68</f>
        <v>0</v>
      </c>
      <c r="G626">
        <f>G269*'WK3 - Notional GI 15-16 YIELD'!$D68</f>
        <v>0</v>
      </c>
      <c r="H626">
        <f>H269*'WK3 - Notional GI 15-16 YIELD'!$D68</f>
        <v>0</v>
      </c>
      <c r="I626">
        <f>I269*'WK3 - Notional GI 15-16 YIELD'!$D68</f>
        <v>0</v>
      </c>
      <c r="J626">
        <f>J269*'WK3 - Notional GI 15-16 YIELD'!$D68</f>
        <v>0</v>
      </c>
      <c r="K626">
        <f>K269*'WK3 - Notional GI 15-16 YIELD'!$D68</f>
        <v>0</v>
      </c>
      <c r="L626">
        <f>L269*'WK3 - Notional GI 15-16 YIELD'!$D68</f>
        <v>0</v>
      </c>
    </row>
    <row r="627" spans="3:12" hidden="1" x14ac:dyDescent="0.2">
      <c r="C627" t="str">
        <f t="shared" si="295"/>
        <v>Farmland</v>
      </c>
      <c r="D627" t="str">
        <f t="shared" si="295"/>
        <v/>
      </c>
      <c r="F627">
        <f>F270*'WK3 - Notional GI 15-16 YIELD'!$D69</f>
        <v>0</v>
      </c>
      <c r="G627">
        <f>G270*'WK3 - Notional GI 15-16 YIELD'!$D69</f>
        <v>0</v>
      </c>
      <c r="H627">
        <f>H270*'WK3 - Notional GI 15-16 YIELD'!$D69</f>
        <v>0</v>
      </c>
      <c r="I627">
        <f>I270*'WK3 - Notional GI 15-16 YIELD'!$D69</f>
        <v>0</v>
      </c>
      <c r="J627">
        <f>J270*'WK3 - Notional GI 15-16 YIELD'!$D69</f>
        <v>0</v>
      </c>
      <c r="K627">
        <f>K270*'WK3 - Notional GI 15-16 YIELD'!$D69</f>
        <v>0</v>
      </c>
      <c r="L627">
        <f>L270*'WK3 - Notional GI 15-16 YIELD'!$D69</f>
        <v>0</v>
      </c>
    </row>
    <row r="628" spans="3:12" hidden="1" x14ac:dyDescent="0.2">
      <c r="C628" t="str">
        <f>C271</f>
        <v>Special rate</v>
      </c>
      <c r="D628" t="str">
        <f>D271</f>
        <v/>
      </c>
      <c r="F628">
        <f>F271*'WK3 - Notional GI 15-16 YIELD'!$D121</f>
        <v>0</v>
      </c>
      <c r="G628">
        <f>G271*'WK3 - Notional GI 15-16 YIELD'!$D121</f>
        <v>0</v>
      </c>
      <c r="H628">
        <f>H271*'WK3 - Notional GI 15-16 YIELD'!$D121</f>
        <v>0</v>
      </c>
      <c r="I628">
        <f>I271*'WK3 - Notional GI 15-16 YIELD'!$D121</f>
        <v>0</v>
      </c>
      <c r="J628">
        <f>J271*'WK3 - Notional GI 15-16 YIELD'!$D121</f>
        <v>0</v>
      </c>
      <c r="K628">
        <f>K271*'WK3 - Notional GI 15-16 YIELD'!$D121</f>
        <v>0</v>
      </c>
      <c r="L628">
        <f>L271*'WK3 - Notional GI 15-16 YIELD'!$D121</f>
        <v>0</v>
      </c>
    </row>
    <row r="629" spans="3:12" hidden="1" x14ac:dyDescent="0.2">
      <c r="C629" t="str">
        <f t="shared" ref="C629:D637" si="296">C272</f>
        <v>Special rate</v>
      </c>
      <c r="D629" t="str">
        <f t="shared" si="296"/>
        <v/>
      </c>
      <c r="F629">
        <f>F272*'WK3 - Notional GI 15-16 YIELD'!$D122</f>
        <v>0</v>
      </c>
      <c r="G629">
        <f>G272*'WK3 - Notional GI 15-16 YIELD'!$D122</f>
        <v>0</v>
      </c>
      <c r="H629">
        <f>H272*'WK3 - Notional GI 15-16 YIELD'!$D122</f>
        <v>0</v>
      </c>
      <c r="I629">
        <f>I272*'WK3 - Notional GI 15-16 YIELD'!$D122</f>
        <v>0</v>
      </c>
      <c r="J629">
        <f>J272*'WK3 - Notional GI 15-16 YIELD'!$D122</f>
        <v>0</v>
      </c>
      <c r="K629">
        <f>K272*'WK3 - Notional GI 15-16 YIELD'!$D122</f>
        <v>0</v>
      </c>
      <c r="L629">
        <f>L272*'WK3 - Notional GI 15-16 YIELD'!$D122</f>
        <v>0</v>
      </c>
    </row>
    <row r="630" spans="3:12" hidden="1" x14ac:dyDescent="0.2">
      <c r="C630" t="str">
        <f t="shared" si="296"/>
        <v>Special rate</v>
      </c>
      <c r="D630" t="str">
        <f t="shared" si="296"/>
        <v/>
      </c>
      <c r="F630">
        <f>F273*'WK3 - Notional GI 15-16 YIELD'!$D123</f>
        <v>0</v>
      </c>
      <c r="G630">
        <f>G273*'WK3 - Notional GI 15-16 YIELD'!$D123</f>
        <v>0</v>
      </c>
      <c r="H630">
        <f>H273*'WK3 - Notional GI 15-16 YIELD'!$D123</f>
        <v>0</v>
      </c>
      <c r="I630">
        <f>I273*'WK3 - Notional GI 15-16 YIELD'!$D123</f>
        <v>0</v>
      </c>
      <c r="J630">
        <f>J273*'WK3 - Notional GI 15-16 YIELD'!$D123</f>
        <v>0</v>
      </c>
      <c r="K630">
        <f>K273*'WK3 - Notional GI 15-16 YIELD'!$D123</f>
        <v>0</v>
      </c>
      <c r="L630">
        <f>L273*'WK3 - Notional GI 15-16 YIELD'!$D123</f>
        <v>0</v>
      </c>
    </row>
    <row r="631" spans="3:12" hidden="1" x14ac:dyDescent="0.2">
      <c r="C631" t="str">
        <f t="shared" si="296"/>
        <v>Special rate</v>
      </c>
      <c r="D631" t="str">
        <f t="shared" si="296"/>
        <v/>
      </c>
      <c r="F631">
        <f>F274*'WK3 - Notional GI 15-16 YIELD'!$D124</f>
        <v>0</v>
      </c>
      <c r="G631">
        <f>G274*'WK3 - Notional GI 15-16 YIELD'!$D124</f>
        <v>0</v>
      </c>
      <c r="H631">
        <f>H274*'WK3 - Notional GI 15-16 YIELD'!$D124</f>
        <v>0</v>
      </c>
      <c r="I631">
        <f>I274*'WK3 - Notional GI 15-16 YIELD'!$D124</f>
        <v>0</v>
      </c>
      <c r="J631">
        <f>J274*'WK3 - Notional GI 15-16 YIELD'!$D124</f>
        <v>0</v>
      </c>
      <c r="K631">
        <f>K274*'WK3 - Notional GI 15-16 YIELD'!$D124</f>
        <v>0</v>
      </c>
      <c r="L631">
        <f>L274*'WK3 - Notional GI 15-16 YIELD'!$D124</f>
        <v>0</v>
      </c>
    </row>
    <row r="632" spans="3:12" hidden="1" x14ac:dyDescent="0.2">
      <c r="C632" t="str">
        <f t="shared" si="296"/>
        <v>Special rate</v>
      </c>
      <c r="D632" t="str">
        <f t="shared" si="296"/>
        <v/>
      </c>
      <c r="F632">
        <f>F275*'WK3 - Notional GI 15-16 YIELD'!$D125</f>
        <v>0</v>
      </c>
      <c r="G632">
        <f>G275*'WK3 - Notional GI 15-16 YIELD'!$D125</f>
        <v>0</v>
      </c>
      <c r="H632">
        <f>H275*'WK3 - Notional GI 15-16 YIELD'!$D125</f>
        <v>0</v>
      </c>
      <c r="I632">
        <f>I275*'WK3 - Notional GI 15-16 YIELD'!$D125</f>
        <v>0</v>
      </c>
      <c r="J632">
        <f>J275*'WK3 - Notional GI 15-16 YIELD'!$D125</f>
        <v>0</v>
      </c>
      <c r="K632">
        <f>K275*'WK3 - Notional GI 15-16 YIELD'!$D125</f>
        <v>0</v>
      </c>
      <c r="L632">
        <f>L275*'WK3 - Notional GI 15-16 YIELD'!$D125</f>
        <v>0</v>
      </c>
    </row>
    <row r="633" spans="3:12" hidden="1" x14ac:dyDescent="0.2">
      <c r="C633" t="str">
        <f t="shared" si="296"/>
        <v>Special rate</v>
      </c>
      <c r="D633" t="str">
        <f t="shared" si="296"/>
        <v/>
      </c>
      <c r="F633">
        <f>F276*'WK3 - Notional GI 15-16 YIELD'!$D126</f>
        <v>0</v>
      </c>
      <c r="G633">
        <f>G276*'WK3 - Notional GI 15-16 YIELD'!$D126</f>
        <v>0</v>
      </c>
      <c r="H633">
        <f>H276*'WK3 - Notional GI 15-16 YIELD'!$D126</f>
        <v>0</v>
      </c>
      <c r="I633">
        <f>I276*'WK3 - Notional GI 15-16 YIELD'!$D126</f>
        <v>0</v>
      </c>
      <c r="J633">
        <f>J276*'WK3 - Notional GI 15-16 YIELD'!$D126</f>
        <v>0</v>
      </c>
      <c r="K633">
        <f>K276*'WK3 - Notional GI 15-16 YIELD'!$D126</f>
        <v>0</v>
      </c>
      <c r="L633">
        <f>L276*'WK3 - Notional GI 15-16 YIELD'!$D126</f>
        <v>0</v>
      </c>
    </row>
    <row r="634" spans="3:12" hidden="1" x14ac:dyDescent="0.2">
      <c r="C634" t="str">
        <f t="shared" si="296"/>
        <v>Special rate</v>
      </c>
      <c r="D634" t="str">
        <f t="shared" si="296"/>
        <v/>
      </c>
      <c r="F634">
        <f>F277*'WK3 - Notional GI 15-16 YIELD'!$D127</f>
        <v>0</v>
      </c>
      <c r="G634">
        <f>G277*'WK3 - Notional GI 15-16 YIELD'!$D127</f>
        <v>0</v>
      </c>
      <c r="H634">
        <f>H277*'WK3 - Notional GI 15-16 YIELD'!$D127</f>
        <v>0</v>
      </c>
      <c r="I634">
        <f>I277*'WK3 - Notional GI 15-16 YIELD'!$D127</f>
        <v>0</v>
      </c>
      <c r="J634">
        <f>J277*'WK3 - Notional GI 15-16 YIELD'!$D127</f>
        <v>0</v>
      </c>
      <c r="K634">
        <f>K277*'WK3 - Notional GI 15-16 YIELD'!$D127</f>
        <v>0</v>
      </c>
      <c r="L634">
        <f>L277*'WK3 - Notional GI 15-16 YIELD'!$D127</f>
        <v>0</v>
      </c>
    </row>
    <row r="635" spans="3:12" hidden="1" x14ac:dyDescent="0.2">
      <c r="C635" t="str">
        <f t="shared" si="296"/>
        <v>Special rate</v>
      </c>
      <c r="D635" t="str">
        <f t="shared" si="296"/>
        <v/>
      </c>
      <c r="F635">
        <f>F278*'WK3 - Notional GI 15-16 YIELD'!$D128</f>
        <v>0</v>
      </c>
      <c r="G635">
        <f>G278*'WK3 - Notional GI 15-16 YIELD'!$D128</f>
        <v>0</v>
      </c>
      <c r="H635">
        <f>H278*'WK3 - Notional GI 15-16 YIELD'!$D128</f>
        <v>0</v>
      </c>
      <c r="I635">
        <f>I278*'WK3 - Notional GI 15-16 YIELD'!$D128</f>
        <v>0</v>
      </c>
      <c r="J635">
        <f>J278*'WK3 - Notional GI 15-16 YIELD'!$D128</f>
        <v>0</v>
      </c>
      <c r="K635">
        <f>K278*'WK3 - Notional GI 15-16 YIELD'!$D128</f>
        <v>0</v>
      </c>
      <c r="L635">
        <f>L278*'WK3 - Notional GI 15-16 YIELD'!$D128</f>
        <v>0</v>
      </c>
    </row>
    <row r="636" spans="3:12" hidden="1" x14ac:dyDescent="0.2">
      <c r="C636" t="str">
        <f t="shared" si="296"/>
        <v>Special rate</v>
      </c>
      <c r="D636" t="str">
        <f t="shared" si="296"/>
        <v/>
      </c>
      <c r="F636">
        <f>F279*'WK3 - Notional GI 15-16 YIELD'!$D129</f>
        <v>0</v>
      </c>
      <c r="G636">
        <f>G279*'WK3 - Notional GI 15-16 YIELD'!$D129</f>
        <v>0</v>
      </c>
      <c r="H636">
        <f>H279*'WK3 - Notional GI 15-16 YIELD'!$D129</f>
        <v>0</v>
      </c>
      <c r="I636">
        <f>I279*'WK3 - Notional GI 15-16 YIELD'!$D129</f>
        <v>0</v>
      </c>
      <c r="J636">
        <f>J279*'WK3 - Notional GI 15-16 YIELD'!$D129</f>
        <v>0</v>
      </c>
      <c r="K636">
        <f>K279*'WK3 - Notional GI 15-16 YIELD'!$D129</f>
        <v>0</v>
      </c>
      <c r="L636">
        <f>L279*'WK3 - Notional GI 15-16 YIELD'!$D129</f>
        <v>0</v>
      </c>
    </row>
    <row r="637" spans="3:12" hidden="1" x14ac:dyDescent="0.2">
      <c r="C637" t="str">
        <f t="shared" si="296"/>
        <v>Special rate</v>
      </c>
      <c r="D637" t="str">
        <f t="shared" si="296"/>
        <v/>
      </c>
      <c r="F637">
        <f>F280*'WK3 - Notional GI 15-16 YIELD'!$D130</f>
        <v>0</v>
      </c>
      <c r="G637">
        <f>G280*'WK3 - Notional GI 15-16 YIELD'!$D130</f>
        <v>0</v>
      </c>
      <c r="H637">
        <f>H280*'WK3 - Notional GI 15-16 YIELD'!$D130</f>
        <v>0</v>
      </c>
      <c r="I637">
        <f>I280*'WK3 - Notional GI 15-16 YIELD'!$D130</f>
        <v>0</v>
      </c>
      <c r="J637">
        <f>J280*'WK3 - Notional GI 15-16 YIELD'!$D130</f>
        <v>0</v>
      </c>
      <c r="K637">
        <f>K280*'WK3 - Notional GI 15-16 YIELD'!$D130</f>
        <v>0</v>
      </c>
      <c r="L637">
        <f>L280*'WK3 - Notional GI 15-16 YIELD'!$D130</f>
        <v>0</v>
      </c>
    </row>
    <row r="638" spans="3:12" s="165" customFormat="1" hidden="1" x14ac:dyDescent="0.2">
      <c r="D638" s="165" t="str">
        <f>D514</f>
        <v>TOTAL INCOME FROM FARMLAND</v>
      </c>
      <c r="F638" s="165">
        <f>SUM(F618:F637)</f>
        <v>1909428.4770499999</v>
      </c>
      <c r="G638" s="165">
        <f t="shared" ref="G638:L638" si="297">SUM(G618:G637)</f>
        <v>1966711.3313614998</v>
      </c>
      <c r="H638" s="165">
        <f t="shared" si="297"/>
        <v>2025712.6713023451</v>
      </c>
      <c r="I638" s="165">
        <f t="shared" si="297"/>
        <v>2086484.0514414157</v>
      </c>
      <c r="J638" s="165">
        <f t="shared" si="297"/>
        <v>2149078.5729846582</v>
      </c>
      <c r="K638" s="165">
        <f t="shared" si="297"/>
        <v>2213550.930174198</v>
      </c>
      <c r="L638" s="165">
        <f t="shared" si="297"/>
        <v>2279957.4580794238</v>
      </c>
    </row>
    <row r="639" spans="3:12" hidden="1" x14ac:dyDescent="0.2">
      <c r="C639" t="str">
        <f>C282</f>
        <v>Mining</v>
      </c>
      <c r="D639" t="str">
        <f>D282</f>
        <v/>
      </c>
      <c r="F639">
        <f>F282*'WK3 - Notional GI 15-16 YIELD'!$D71</f>
        <v>0</v>
      </c>
      <c r="G639">
        <f>G282*'WK3 - Notional GI 15-16 YIELD'!$D71</f>
        <v>0</v>
      </c>
      <c r="H639">
        <f>H282*'WK3 - Notional GI 15-16 YIELD'!$D71</f>
        <v>0</v>
      </c>
      <c r="I639">
        <f>I282*'WK3 - Notional GI 15-16 YIELD'!$D71</f>
        <v>0</v>
      </c>
      <c r="J639">
        <f>J282*'WK3 - Notional GI 15-16 YIELD'!$D71</f>
        <v>0</v>
      </c>
      <c r="K639">
        <f>K282*'WK3 - Notional GI 15-16 YIELD'!$D71</f>
        <v>0</v>
      </c>
      <c r="L639">
        <f>L282*'WK3 - Notional GI 15-16 YIELD'!$D71</f>
        <v>0</v>
      </c>
    </row>
    <row r="640" spans="3:12" hidden="1" x14ac:dyDescent="0.2">
      <c r="C640" t="str">
        <f t="shared" ref="C640:D648" si="298">C283</f>
        <v>Mining</v>
      </c>
      <c r="D640" t="str">
        <f t="shared" si="298"/>
        <v/>
      </c>
      <c r="F640">
        <f>F283*'WK3 - Notional GI 15-16 YIELD'!$D72</f>
        <v>0</v>
      </c>
      <c r="G640">
        <f>G283*'WK3 - Notional GI 15-16 YIELD'!$D72</f>
        <v>0</v>
      </c>
      <c r="H640">
        <f>H283*'WK3 - Notional GI 15-16 YIELD'!$D72</f>
        <v>0</v>
      </c>
      <c r="I640">
        <f>I283*'WK3 - Notional GI 15-16 YIELD'!$D72</f>
        <v>0</v>
      </c>
      <c r="J640">
        <f>J283*'WK3 - Notional GI 15-16 YIELD'!$D72</f>
        <v>0</v>
      </c>
      <c r="K640">
        <f>K283*'WK3 - Notional GI 15-16 YIELD'!$D72</f>
        <v>0</v>
      </c>
      <c r="L640">
        <f>L283*'WK3 - Notional GI 15-16 YIELD'!$D72</f>
        <v>0</v>
      </c>
    </row>
    <row r="641" spans="3:12" hidden="1" x14ac:dyDescent="0.2">
      <c r="C641" t="str">
        <f t="shared" si="298"/>
        <v>Mining</v>
      </c>
      <c r="D641" t="str">
        <f t="shared" si="298"/>
        <v/>
      </c>
      <c r="F641">
        <f>F284*'WK3 - Notional GI 15-16 YIELD'!$D73</f>
        <v>0</v>
      </c>
      <c r="G641">
        <f>G284*'WK3 - Notional GI 15-16 YIELD'!$D73</f>
        <v>0</v>
      </c>
      <c r="H641">
        <f>H284*'WK3 - Notional GI 15-16 YIELD'!$D73</f>
        <v>0</v>
      </c>
      <c r="I641">
        <f>I284*'WK3 - Notional GI 15-16 YIELD'!$D73</f>
        <v>0</v>
      </c>
      <c r="J641">
        <f>J284*'WK3 - Notional GI 15-16 YIELD'!$D73</f>
        <v>0</v>
      </c>
      <c r="K641">
        <f>K284*'WK3 - Notional GI 15-16 YIELD'!$D73</f>
        <v>0</v>
      </c>
      <c r="L641">
        <f>L284*'WK3 - Notional GI 15-16 YIELD'!$D73</f>
        <v>0</v>
      </c>
    </row>
    <row r="642" spans="3:12" hidden="1" x14ac:dyDescent="0.2">
      <c r="C642" t="str">
        <f t="shared" si="298"/>
        <v>Mining</v>
      </c>
      <c r="D642" t="str">
        <f t="shared" si="298"/>
        <v/>
      </c>
      <c r="F642">
        <f>F285*'WK3 - Notional GI 15-16 YIELD'!$D74</f>
        <v>0</v>
      </c>
      <c r="G642">
        <f>G285*'WK3 - Notional GI 15-16 YIELD'!$D74</f>
        <v>0</v>
      </c>
      <c r="H642">
        <f>H285*'WK3 - Notional GI 15-16 YIELD'!$D74</f>
        <v>0</v>
      </c>
      <c r="I642">
        <f>I285*'WK3 - Notional GI 15-16 YIELD'!$D74</f>
        <v>0</v>
      </c>
      <c r="J642">
        <f>J285*'WK3 - Notional GI 15-16 YIELD'!$D74</f>
        <v>0</v>
      </c>
      <c r="K642">
        <f>K285*'WK3 - Notional GI 15-16 YIELD'!$D74</f>
        <v>0</v>
      </c>
      <c r="L642">
        <f>L285*'WK3 - Notional GI 15-16 YIELD'!$D74</f>
        <v>0</v>
      </c>
    </row>
    <row r="643" spans="3:12" hidden="1" x14ac:dyDescent="0.2">
      <c r="C643" t="str">
        <f t="shared" si="298"/>
        <v>Mining</v>
      </c>
      <c r="D643" t="str">
        <f t="shared" si="298"/>
        <v/>
      </c>
      <c r="F643">
        <f>F286*'WK3 - Notional GI 15-16 YIELD'!$D75</f>
        <v>0</v>
      </c>
      <c r="G643">
        <f>G286*'WK3 - Notional GI 15-16 YIELD'!$D75</f>
        <v>0</v>
      </c>
      <c r="H643">
        <f>H286*'WK3 - Notional GI 15-16 YIELD'!$D75</f>
        <v>0</v>
      </c>
      <c r="I643">
        <f>I286*'WK3 - Notional GI 15-16 YIELD'!$D75</f>
        <v>0</v>
      </c>
      <c r="J643">
        <f>J286*'WK3 - Notional GI 15-16 YIELD'!$D75</f>
        <v>0</v>
      </c>
      <c r="K643">
        <f>K286*'WK3 - Notional GI 15-16 YIELD'!$D75</f>
        <v>0</v>
      </c>
      <c r="L643">
        <f>L286*'WK3 - Notional GI 15-16 YIELD'!$D75</f>
        <v>0</v>
      </c>
    </row>
    <row r="644" spans="3:12" hidden="1" x14ac:dyDescent="0.2">
      <c r="C644" t="str">
        <f t="shared" si="298"/>
        <v>Mining</v>
      </c>
      <c r="D644" t="str">
        <f t="shared" si="298"/>
        <v/>
      </c>
      <c r="F644">
        <f>F287*'WK3 - Notional GI 15-16 YIELD'!$D76</f>
        <v>0</v>
      </c>
      <c r="G644">
        <f>G287*'WK3 - Notional GI 15-16 YIELD'!$D76</f>
        <v>0</v>
      </c>
      <c r="H644">
        <f>H287*'WK3 - Notional GI 15-16 YIELD'!$D76</f>
        <v>0</v>
      </c>
      <c r="I644">
        <f>I287*'WK3 - Notional GI 15-16 YIELD'!$D76</f>
        <v>0</v>
      </c>
      <c r="J644">
        <f>J287*'WK3 - Notional GI 15-16 YIELD'!$D76</f>
        <v>0</v>
      </c>
      <c r="K644">
        <f>K287*'WK3 - Notional GI 15-16 YIELD'!$D76</f>
        <v>0</v>
      </c>
      <c r="L644">
        <f>L287*'WK3 - Notional GI 15-16 YIELD'!$D76</f>
        <v>0</v>
      </c>
    </row>
    <row r="645" spans="3:12" hidden="1" x14ac:dyDescent="0.2">
      <c r="C645" t="str">
        <f t="shared" si="298"/>
        <v>Mining</v>
      </c>
      <c r="D645" t="str">
        <f t="shared" si="298"/>
        <v/>
      </c>
      <c r="F645">
        <f>F288*'WK3 - Notional GI 15-16 YIELD'!$D77</f>
        <v>0</v>
      </c>
      <c r="G645">
        <f>G288*'WK3 - Notional GI 15-16 YIELD'!$D77</f>
        <v>0</v>
      </c>
      <c r="H645">
        <f>H288*'WK3 - Notional GI 15-16 YIELD'!$D77</f>
        <v>0</v>
      </c>
      <c r="I645">
        <f>I288*'WK3 - Notional GI 15-16 YIELD'!$D77</f>
        <v>0</v>
      </c>
      <c r="J645">
        <f>J288*'WK3 - Notional GI 15-16 YIELD'!$D77</f>
        <v>0</v>
      </c>
      <c r="K645">
        <f>K288*'WK3 - Notional GI 15-16 YIELD'!$D77</f>
        <v>0</v>
      </c>
      <c r="L645">
        <f>L288*'WK3 - Notional GI 15-16 YIELD'!$D77</f>
        <v>0</v>
      </c>
    </row>
    <row r="646" spans="3:12" hidden="1" x14ac:dyDescent="0.2">
      <c r="C646" t="str">
        <f t="shared" si="298"/>
        <v>Mining</v>
      </c>
      <c r="D646" t="str">
        <f t="shared" si="298"/>
        <v/>
      </c>
      <c r="F646">
        <f>F289*'WK3 - Notional GI 15-16 YIELD'!$D78</f>
        <v>0</v>
      </c>
      <c r="G646">
        <f>G289*'WK3 - Notional GI 15-16 YIELD'!$D78</f>
        <v>0</v>
      </c>
      <c r="H646">
        <f>H289*'WK3 - Notional GI 15-16 YIELD'!$D78</f>
        <v>0</v>
      </c>
      <c r="I646">
        <f>I289*'WK3 - Notional GI 15-16 YIELD'!$D78</f>
        <v>0</v>
      </c>
      <c r="J646">
        <f>J289*'WK3 - Notional GI 15-16 YIELD'!$D78</f>
        <v>0</v>
      </c>
      <c r="K646">
        <f>K289*'WK3 - Notional GI 15-16 YIELD'!$D78</f>
        <v>0</v>
      </c>
      <c r="L646">
        <f>L289*'WK3 - Notional GI 15-16 YIELD'!$D78</f>
        <v>0</v>
      </c>
    </row>
    <row r="647" spans="3:12" hidden="1" x14ac:dyDescent="0.2">
      <c r="C647" t="str">
        <f t="shared" si="298"/>
        <v>Mining</v>
      </c>
      <c r="D647" t="str">
        <f t="shared" si="298"/>
        <v/>
      </c>
      <c r="F647">
        <f>F290*'WK3 - Notional GI 15-16 YIELD'!$D79</f>
        <v>0</v>
      </c>
      <c r="G647">
        <f>G290*'WK3 - Notional GI 15-16 YIELD'!$D79</f>
        <v>0</v>
      </c>
      <c r="H647">
        <f>H290*'WK3 - Notional GI 15-16 YIELD'!$D79</f>
        <v>0</v>
      </c>
      <c r="I647">
        <f>I290*'WK3 - Notional GI 15-16 YIELD'!$D79</f>
        <v>0</v>
      </c>
      <c r="J647">
        <f>J290*'WK3 - Notional GI 15-16 YIELD'!$D79</f>
        <v>0</v>
      </c>
      <c r="K647">
        <f>K290*'WK3 - Notional GI 15-16 YIELD'!$D79</f>
        <v>0</v>
      </c>
      <c r="L647">
        <f>L290*'WK3 - Notional GI 15-16 YIELD'!$D79</f>
        <v>0</v>
      </c>
    </row>
    <row r="648" spans="3:12" hidden="1" x14ac:dyDescent="0.2">
      <c r="C648" t="str">
        <f t="shared" si="298"/>
        <v>Mining</v>
      </c>
      <c r="D648" t="str">
        <f t="shared" si="298"/>
        <v/>
      </c>
      <c r="F648">
        <f>F291*'WK3 - Notional GI 15-16 YIELD'!$D80</f>
        <v>0</v>
      </c>
      <c r="G648">
        <f>G291*'WK3 - Notional GI 15-16 YIELD'!$D80</f>
        <v>0</v>
      </c>
      <c r="H648">
        <f>H291*'WK3 - Notional GI 15-16 YIELD'!$D80</f>
        <v>0</v>
      </c>
      <c r="I648">
        <f>I291*'WK3 - Notional GI 15-16 YIELD'!$D80</f>
        <v>0</v>
      </c>
      <c r="J648">
        <f>J291*'WK3 - Notional GI 15-16 YIELD'!$D80</f>
        <v>0</v>
      </c>
      <c r="K648">
        <f>K291*'WK3 - Notional GI 15-16 YIELD'!$D80</f>
        <v>0</v>
      </c>
      <c r="L648">
        <f>L291*'WK3 - Notional GI 15-16 YIELD'!$D80</f>
        <v>0</v>
      </c>
    </row>
    <row r="649" spans="3:12" hidden="1" x14ac:dyDescent="0.2">
      <c r="C649" t="str">
        <f>C292</f>
        <v>Special rate</v>
      </c>
      <c r="D649" t="str">
        <f>D292</f>
        <v/>
      </c>
      <c r="F649">
        <f>F292*'WK3 - Notional GI 15-16 YIELD'!$D131</f>
        <v>0</v>
      </c>
      <c r="G649">
        <f>G292*'WK3 - Notional GI 15-16 YIELD'!$D131</f>
        <v>0</v>
      </c>
      <c r="H649">
        <f>H292*'WK3 - Notional GI 15-16 YIELD'!$D131</f>
        <v>0</v>
      </c>
      <c r="I649">
        <f>I292*'WK3 - Notional GI 15-16 YIELD'!$D131</f>
        <v>0</v>
      </c>
      <c r="J649">
        <f>J292*'WK3 - Notional GI 15-16 YIELD'!$D131</f>
        <v>0</v>
      </c>
      <c r="K649">
        <f>K292*'WK3 - Notional GI 15-16 YIELD'!$D131</f>
        <v>0</v>
      </c>
      <c r="L649">
        <f>L292*'WK3 - Notional GI 15-16 YIELD'!$D131</f>
        <v>0</v>
      </c>
    </row>
    <row r="650" spans="3:12" hidden="1" x14ac:dyDescent="0.2">
      <c r="C650" t="str">
        <f t="shared" ref="C650:D658" si="299">C293</f>
        <v>Special rate</v>
      </c>
      <c r="D650" t="str">
        <f t="shared" si="299"/>
        <v/>
      </c>
      <c r="F650">
        <f>F293*'WK3 - Notional GI 15-16 YIELD'!$D132</f>
        <v>0</v>
      </c>
      <c r="G650">
        <f>G293*'WK3 - Notional GI 15-16 YIELD'!$D132</f>
        <v>0</v>
      </c>
      <c r="H650">
        <f>H293*'WK3 - Notional GI 15-16 YIELD'!$D132</f>
        <v>0</v>
      </c>
      <c r="I650">
        <f>I293*'WK3 - Notional GI 15-16 YIELD'!$D132</f>
        <v>0</v>
      </c>
      <c r="J650">
        <f>J293*'WK3 - Notional GI 15-16 YIELD'!$D132</f>
        <v>0</v>
      </c>
      <c r="K650">
        <f>K293*'WK3 - Notional GI 15-16 YIELD'!$D132</f>
        <v>0</v>
      </c>
      <c r="L650">
        <f>L293*'WK3 - Notional GI 15-16 YIELD'!$D132</f>
        <v>0</v>
      </c>
    </row>
    <row r="651" spans="3:12" hidden="1" x14ac:dyDescent="0.2">
      <c r="C651" t="str">
        <f t="shared" si="299"/>
        <v>Special rate</v>
      </c>
      <c r="D651" t="str">
        <f t="shared" si="299"/>
        <v/>
      </c>
      <c r="F651">
        <f>F294*'WK3 - Notional GI 15-16 YIELD'!$D133</f>
        <v>0</v>
      </c>
      <c r="G651">
        <f>G294*'WK3 - Notional GI 15-16 YIELD'!$D133</f>
        <v>0</v>
      </c>
      <c r="H651">
        <f>H294*'WK3 - Notional GI 15-16 YIELD'!$D133</f>
        <v>0</v>
      </c>
      <c r="I651">
        <f>I294*'WK3 - Notional GI 15-16 YIELD'!$D133</f>
        <v>0</v>
      </c>
      <c r="J651">
        <f>J294*'WK3 - Notional GI 15-16 YIELD'!$D133</f>
        <v>0</v>
      </c>
      <c r="K651">
        <f>K294*'WK3 - Notional GI 15-16 YIELD'!$D133</f>
        <v>0</v>
      </c>
      <c r="L651">
        <f>L294*'WK3 - Notional GI 15-16 YIELD'!$D133</f>
        <v>0</v>
      </c>
    </row>
    <row r="652" spans="3:12" hidden="1" x14ac:dyDescent="0.2">
      <c r="C652" t="str">
        <f t="shared" si="299"/>
        <v>Special rate</v>
      </c>
      <c r="D652" t="str">
        <f t="shared" si="299"/>
        <v/>
      </c>
      <c r="F652">
        <f>F295*'WK3 - Notional GI 15-16 YIELD'!$D134</f>
        <v>0</v>
      </c>
      <c r="G652">
        <f>G295*'WK3 - Notional GI 15-16 YIELD'!$D134</f>
        <v>0</v>
      </c>
      <c r="H652">
        <f>H295*'WK3 - Notional GI 15-16 YIELD'!$D134</f>
        <v>0</v>
      </c>
      <c r="I652">
        <f>I295*'WK3 - Notional GI 15-16 YIELD'!$D134</f>
        <v>0</v>
      </c>
      <c r="J652">
        <f>J295*'WK3 - Notional GI 15-16 YIELD'!$D134</f>
        <v>0</v>
      </c>
      <c r="K652">
        <f>K295*'WK3 - Notional GI 15-16 YIELD'!$D134</f>
        <v>0</v>
      </c>
      <c r="L652">
        <f>L295*'WK3 - Notional GI 15-16 YIELD'!$D134</f>
        <v>0</v>
      </c>
    </row>
    <row r="653" spans="3:12" hidden="1" x14ac:dyDescent="0.2">
      <c r="C653" t="str">
        <f t="shared" si="299"/>
        <v>Special rate</v>
      </c>
      <c r="D653" t="str">
        <f t="shared" si="299"/>
        <v/>
      </c>
      <c r="F653">
        <f>F296*'WK3 - Notional GI 15-16 YIELD'!$D135</f>
        <v>0</v>
      </c>
      <c r="G653">
        <f>G296*'WK3 - Notional GI 15-16 YIELD'!$D135</f>
        <v>0</v>
      </c>
      <c r="H653">
        <f>H296*'WK3 - Notional GI 15-16 YIELD'!$D135</f>
        <v>0</v>
      </c>
      <c r="I653">
        <f>I296*'WK3 - Notional GI 15-16 YIELD'!$D135</f>
        <v>0</v>
      </c>
      <c r="J653">
        <f>J296*'WK3 - Notional GI 15-16 YIELD'!$D135</f>
        <v>0</v>
      </c>
      <c r="K653">
        <f>K296*'WK3 - Notional GI 15-16 YIELD'!$D135</f>
        <v>0</v>
      </c>
      <c r="L653">
        <f>L296*'WK3 - Notional GI 15-16 YIELD'!$D135</f>
        <v>0</v>
      </c>
    </row>
    <row r="654" spans="3:12" hidden="1" x14ac:dyDescent="0.2">
      <c r="C654" t="str">
        <f t="shared" si="299"/>
        <v>Special rate</v>
      </c>
      <c r="D654" t="str">
        <f t="shared" si="299"/>
        <v/>
      </c>
      <c r="F654">
        <f>F297*'WK3 - Notional GI 15-16 YIELD'!$D136</f>
        <v>0</v>
      </c>
      <c r="G654">
        <f>G297*'WK3 - Notional GI 15-16 YIELD'!$D136</f>
        <v>0</v>
      </c>
      <c r="H654">
        <f>H297*'WK3 - Notional GI 15-16 YIELD'!$D136</f>
        <v>0</v>
      </c>
      <c r="I654">
        <f>I297*'WK3 - Notional GI 15-16 YIELD'!$D136</f>
        <v>0</v>
      </c>
      <c r="J654">
        <f>J297*'WK3 - Notional GI 15-16 YIELD'!$D136</f>
        <v>0</v>
      </c>
      <c r="K654">
        <f>K297*'WK3 - Notional GI 15-16 YIELD'!$D136</f>
        <v>0</v>
      </c>
      <c r="L654">
        <f>L297*'WK3 - Notional GI 15-16 YIELD'!$D136</f>
        <v>0</v>
      </c>
    </row>
    <row r="655" spans="3:12" hidden="1" x14ac:dyDescent="0.2">
      <c r="C655" t="str">
        <f t="shared" si="299"/>
        <v>Special rate</v>
      </c>
      <c r="D655" t="str">
        <f t="shared" si="299"/>
        <v/>
      </c>
      <c r="F655">
        <f>F298*'WK3 - Notional GI 15-16 YIELD'!$D137</f>
        <v>0</v>
      </c>
      <c r="G655">
        <f>G298*'WK3 - Notional GI 15-16 YIELD'!$D137</f>
        <v>0</v>
      </c>
      <c r="H655">
        <f>H298*'WK3 - Notional GI 15-16 YIELD'!$D137</f>
        <v>0</v>
      </c>
      <c r="I655">
        <f>I298*'WK3 - Notional GI 15-16 YIELD'!$D137</f>
        <v>0</v>
      </c>
      <c r="J655">
        <f>J298*'WK3 - Notional GI 15-16 YIELD'!$D137</f>
        <v>0</v>
      </c>
      <c r="K655">
        <f>K298*'WK3 - Notional GI 15-16 YIELD'!$D137</f>
        <v>0</v>
      </c>
      <c r="L655">
        <f>L298*'WK3 - Notional GI 15-16 YIELD'!$D137</f>
        <v>0</v>
      </c>
    </row>
    <row r="656" spans="3:12" hidden="1" x14ac:dyDescent="0.2">
      <c r="C656" t="str">
        <f t="shared" si="299"/>
        <v>Special rate</v>
      </c>
      <c r="D656" t="str">
        <f t="shared" si="299"/>
        <v/>
      </c>
      <c r="F656">
        <f>F299*'WK3 - Notional GI 15-16 YIELD'!$D138</f>
        <v>0</v>
      </c>
      <c r="G656">
        <f>G299*'WK3 - Notional GI 15-16 YIELD'!$D138</f>
        <v>0</v>
      </c>
      <c r="H656">
        <f>H299*'WK3 - Notional GI 15-16 YIELD'!$D138</f>
        <v>0</v>
      </c>
      <c r="I656">
        <f>I299*'WK3 - Notional GI 15-16 YIELD'!$D138</f>
        <v>0</v>
      </c>
      <c r="J656">
        <f>J299*'WK3 - Notional GI 15-16 YIELD'!$D138</f>
        <v>0</v>
      </c>
      <c r="K656">
        <f>K299*'WK3 - Notional GI 15-16 YIELD'!$D138</f>
        <v>0</v>
      </c>
      <c r="L656">
        <f>L299*'WK3 - Notional GI 15-16 YIELD'!$D138</f>
        <v>0</v>
      </c>
    </row>
    <row r="657" spans="3:13" hidden="1" x14ac:dyDescent="0.2">
      <c r="C657" t="str">
        <f t="shared" si="299"/>
        <v>Special rate</v>
      </c>
      <c r="D657" t="str">
        <f t="shared" si="299"/>
        <v/>
      </c>
      <c r="F657">
        <f>F300*'WK3 - Notional GI 15-16 YIELD'!$D139</f>
        <v>0</v>
      </c>
      <c r="G657">
        <f>G300*'WK3 - Notional GI 15-16 YIELD'!$D139</f>
        <v>0</v>
      </c>
      <c r="H657">
        <f>H300*'WK3 - Notional GI 15-16 YIELD'!$D139</f>
        <v>0</v>
      </c>
      <c r="I657">
        <f>I300*'WK3 - Notional GI 15-16 YIELD'!$D139</f>
        <v>0</v>
      </c>
      <c r="J657">
        <f>J300*'WK3 - Notional GI 15-16 YIELD'!$D139</f>
        <v>0</v>
      </c>
      <c r="K657">
        <f>K300*'WK3 - Notional GI 15-16 YIELD'!$D139</f>
        <v>0</v>
      </c>
      <c r="L657">
        <f>L300*'WK3 - Notional GI 15-16 YIELD'!$D139</f>
        <v>0</v>
      </c>
    </row>
    <row r="658" spans="3:13" hidden="1" x14ac:dyDescent="0.2">
      <c r="C658" t="str">
        <f t="shared" si="299"/>
        <v>Special rate</v>
      </c>
      <c r="D658" t="str">
        <f t="shared" si="299"/>
        <v/>
      </c>
      <c r="F658">
        <f>F301*'WK3 - Notional GI 15-16 YIELD'!$D140</f>
        <v>0</v>
      </c>
      <c r="G658">
        <f>G301*'WK3 - Notional GI 15-16 YIELD'!$D140</f>
        <v>0</v>
      </c>
      <c r="H658">
        <f>H301*'WK3 - Notional GI 15-16 YIELD'!$D140</f>
        <v>0</v>
      </c>
      <c r="I658">
        <f>I301*'WK3 - Notional GI 15-16 YIELD'!$D140</f>
        <v>0</v>
      </c>
      <c r="J658">
        <f>J301*'WK3 - Notional GI 15-16 YIELD'!$D140</f>
        <v>0</v>
      </c>
      <c r="K658">
        <f>K301*'WK3 - Notional GI 15-16 YIELD'!$D140</f>
        <v>0</v>
      </c>
      <c r="L658">
        <f>L301*'WK3 - Notional GI 15-16 YIELD'!$D140</f>
        <v>0</v>
      </c>
    </row>
    <row r="659" spans="3:13" s="165" customFormat="1" hidden="1" x14ac:dyDescent="0.2">
      <c r="D659" s="165" t="str">
        <f>D535</f>
        <v>TOTAL INCOME FROM MINING</v>
      </c>
      <c r="F659" s="165">
        <f>SUM(F639:F658)</f>
        <v>0</v>
      </c>
      <c r="G659" s="165">
        <f t="shared" ref="G659:L659" si="300">SUM(G639:G658)</f>
        <v>0</v>
      </c>
      <c r="H659" s="165">
        <f t="shared" si="300"/>
        <v>0</v>
      </c>
      <c r="I659" s="165">
        <f t="shared" si="300"/>
        <v>0</v>
      </c>
      <c r="J659" s="165">
        <f t="shared" si="300"/>
        <v>0</v>
      </c>
      <c r="K659" s="165">
        <f t="shared" si="300"/>
        <v>0</v>
      </c>
      <c r="L659" s="165">
        <f t="shared" si="300"/>
        <v>0</v>
      </c>
      <c r="M659">
        <f>SUM(M639:M658)</f>
        <v>0</v>
      </c>
    </row>
    <row r="660" spans="3:13" hidden="1" x14ac:dyDescent="0.2"/>
  </sheetData>
  <sheetProtection password="C234" sheet="1"/>
  <mergeCells count="145">
    <mergeCell ref="N19:AM19"/>
    <mergeCell ref="AF20:AI20"/>
    <mergeCell ref="AJ20:AM20"/>
    <mergeCell ref="N20:O20"/>
    <mergeCell ref="N396:AM396"/>
    <mergeCell ref="F309:L309"/>
    <mergeCell ref="X310:AA310"/>
    <mergeCell ref="AB310:AE310"/>
    <mergeCell ref="AF310:AI310"/>
    <mergeCell ref="X20:AA20"/>
    <mergeCell ref="AB20:AE20"/>
    <mergeCell ref="AJ310:AM310"/>
    <mergeCell ref="N309:AM309"/>
    <mergeCell ref="X182:AA182"/>
    <mergeCell ref="AB182:AE182"/>
    <mergeCell ref="P310:S310"/>
    <mergeCell ref="T310:W310"/>
    <mergeCell ref="N55:AM55"/>
    <mergeCell ref="AB56:AE56"/>
    <mergeCell ref="AJ370:AM370"/>
    <mergeCell ref="N342:AM342"/>
    <mergeCell ref="N369:AM369"/>
    <mergeCell ref="AB343:AE343"/>
    <mergeCell ref="AB370:AE370"/>
    <mergeCell ref="C310:D310"/>
    <mergeCell ref="N310:O310"/>
    <mergeCell ref="N182:O182"/>
    <mergeCell ref="F181:L181"/>
    <mergeCell ref="N181:AM181"/>
    <mergeCell ref="C321:D321"/>
    <mergeCell ref="C322:D322"/>
    <mergeCell ref="C312:D312"/>
    <mergeCell ref="C2:G2"/>
    <mergeCell ref="C4:L4"/>
    <mergeCell ref="F55:L55"/>
    <mergeCell ref="T182:W182"/>
    <mergeCell ref="AF182:AI182"/>
    <mergeCell ref="AJ182:AM182"/>
    <mergeCell ref="T56:W56"/>
    <mergeCell ref="P20:S20"/>
    <mergeCell ref="T20:W20"/>
    <mergeCell ref="X56:AA56"/>
    <mergeCell ref="AF56:AI56"/>
    <mergeCell ref="AJ56:AM56"/>
    <mergeCell ref="P182:S182"/>
    <mergeCell ref="N56:O56"/>
    <mergeCell ref="P56:S56"/>
    <mergeCell ref="F19:L19"/>
    <mergeCell ref="C323:D323"/>
    <mergeCell ref="C316:D316"/>
    <mergeCell ref="C317:D317"/>
    <mergeCell ref="C318:D318"/>
    <mergeCell ref="C319:D319"/>
    <mergeCell ref="C320:D320"/>
    <mergeCell ref="C313:D313"/>
    <mergeCell ref="C328:D328"/>
    <mergeCell ref="C329:D329"/>
    <mergeCell ref="C314:D314"/>
    <mergeCell ref="C315:D315"/>
    <mergeCell ref="C330:D330"/>
    <mergeCell ref="C331:D331"/>
    <mergeCell ref="C324:D324"/>
    <mergeCell ref="C325:D325"/>
    <mergeCell ref="C326:D326"/>
    <mergeCell ref="C327:D327"/>
    <mergeCell ref="C336:D336"/>
    <mergeCell ref="C337:D337"/>
    <mergeCell ref="F342:L342"/>
    <mergeCell ref="C332:D332"/>
    <mergeCell ref="C333:D333"/>
    <mergeCell ref="C334:D334"/>
    <mergeCell ref="C335:D335"/>
    <mergeCell ref="C346:D346"/>
    <mergeCell ref="C347:D347"/>
    <mergeCell ref="C348:D348"/>
    <mergeCell ref="C349:D349"/>
    <mergeCell ref="C345:D345"/>
    <mergeCell ref="C343:D343"/>
    <mergeCell ref="C354:D354"/>
    <mergeCell ref="C355:D355"/>
    <mergeCell ref="C356:D356"/>
    <mergeCell ref="C357:D357"/>
    <mergeCell ref="C350:D350"/>
    <mergeCell ref="C351:D351"/>
    <mergeCell ref="C352:D352"/>
    <mergeCell ref="C353:D353"/>
    <mergeCell ref="C362:D362"/>
    <mergeCell ref="C363:D363"/>
    <mergeCell ref="C364:D364"/>
    <mergeCell ref="F369:L369"/>
    <mergeCell ref="C358:D358"/>
    <mergeCell ref="C359:D359"/>
    <mergeCell ref="C360:D360"/>
    <mergeCell ref="C361:D361"/>
    <mergeCell ref="AF370:AI370"/>
    <mergeCell ref="C381:D381"/>
    <mergeCell ref="C382:D382"/>
    <mergeCell ref="C383:D383"/>
    <mergeCell ref="C384:D384"/>
    <mergeCell ref="C377:D377"/>
    <mergeCell ref="C378:D378"/>
    <mergeCell ref="C379:D379"/>
    <mergeCell ref="C380:D380"/>
    <mergeCell ref="C372:D372"/>
    <mergeCell ref="C370:D370"/>
    <mergeCell ref="N370:O370"/>
    <mergeCell ref="P370:S370"/>
    <mergeCell ref="T370:W370"/>
    <mergeCell ref="X370:AA370"/>
    <mergeCell ref="C373:D373"/>
    <mergeCell ref="C374:D374"/>
    <mergeCell ref="C375:D375"/>
    <mergeCell ref="C408:D408"/>
    <mergeCell ref="C403:D403"/>
    <mergeCell ref="C404:D404"/>
    <mergeCell ref="C405:D405"/>
    <mergeCell ref="C406:D406"/>
    <mergeCell ref="C400:D400"/>
    <mergeCell ref="C401:D401"/>
    <mergeCell ref="C402:D402"/>
    <mergeCell ref="C407:D407"/>
    <mergeCell ref="AF343:AI343"/>
    <mergeCell ref="AJ343:AM343"/>
    <mergeCell ref="T343:W343"/>
    <mergeCell ref="X343:AA343"/>
    <mergeCell ref="N343:O343"/>
    <mergeCell ref="P343:S343"/>
    <mergeCell ref="AF397:AI397"/>
    <mergeCell ref="AJ397:AM397"/>
    <mergeCell ref="C399:D399"/>
    <mergeCell ref="C397:D397"/>
    <mergeCell ref="N397:O397"/>
    <mergeCell ref="P397:S397"/>
    <mergeCell ref="T397:W397"/>
    <mergeCell ref="X397:AA397"/>
    <mergeCell ref="C389:D389"/>
    <mergeCell ref="C390:D390"/>
    <mergeCell ref="C391:D391"/>
    <mergeCell ref="F396:L396"/>
    <mergeCell ref="C385:D385"/>
    <mergeCell ref="C386:D386"/>
    <mergeCell ref="C387:D387"/>
    <mergeCell ref="C388:D388"/>
    <mergeCell ref="AB397:AE397"/>
    <mergeCell ref="C376:D376"/>
  </mergeCells>
  <phoneticPr fontId="17" type="noConversion"/>
  <dataValidations count="2">
    <dataValidation type="list" showInputMessage="1" showErrorMessage="1" sqref="C303">
      <formula1>$C$410:$C$415</formula1>
    </dataValidation>
    <dataValidation type="decimal" operator="greaterThan" allowBlank="1" showInputMessage="1" showErrorMessage="1" errorTitle="Minimum Amounts" error="Enter the proposed minimum amount for each category or sub-category." sqref="F43:F51 H43:H51 J43:J51">
      <formula1>0</formula1>
    </dataValidation>
  </dataValidations>
  <printOptions horizontalCentered="1"/>
  <pageMargins left="0.31496062992125984" right="0.31496062992125984" top="0.35433070866141736" bottom="0.35433070866141736" header="0.11811023622047245" footer="0.11811023622047245"/>
  <pageSetup paperSize="9" scale="36" fitToHeight="0" pageOrder="overThenDown" orientation="landscape" r:id="rId1"/>
  <headerFooter alignWithMargins="0"/>
  <rowBreaks count="2" manualBreakCount="2">
    <brk id="304" min="1" max="39" man="1"/>
    <brk id="365" min="1" max="3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V455"/>
  <sheetViews>
    <sheetView showGridLines="0" view="pageBreakPreview" topLeftCell="B1" zoomScale="75" zoomScaleNormal="100" zoomScaleSheetLayoutView="75" workbookViewId="0">
      <selection activeCell="C26" sqref="C25:N26"/>
    </sheetView>
  </sheetViews>
  <sheetFormatPr defaultRowHeight="12" x14ac:dyDescent="0.2"/>
  <cols>
    <col min="1" max="1" width="2.7109375" hidden="1" customWidth="1"/>
    <col min="2" max="2" width="1.7109375" customWidth="1"/>
    <col min="3" max="3" width="21.85546875" customWidth="1"/>
    <col min="4" max="4" width="23.5703125" customWidth="1"/>
    <col min="5" max="5" width="18.5703125" style="121" customWidth="1"/>
    <col min="6" max="6" width="12.7109375" customWidth="1"/>
    <col min="7" max="12" width="12.85546875" customWidth="1"/>
    <col min="13" max="13" width="12.7109375" customWidth="1"/>
    <col min="14" max="14" width="5.140625" customWidth="1"/>
    <col min="15" max="15" width="1.85546875" customWidth="1"/>
    <col min="16" max="16" width="19.42578125" customWidth="1"/>
    <col min="17" max="17" width="12.7109375" customWidth="1"/>
    <col min="18" max="18" width="9.5703125" customWidth="1"/>
    <col min="19" max="19" width="12.7109375" customWidth="1"/>
    <col min="20" max="20" width="9.5703125" customWidth="1"/>
    <col min="21" max="21" width="12.7109375" customWidth="1"/>
    <col min="22" max="22" width="9.5703125" customWidth="1"/>
    <col min="23" max="23" width="12.7109375" customWidth="1"/>
    <col min="24" max="24" width="9.5703125" customWidth="1"/>
    <col min="25" max="25" width="12.7109375" customWidth="1"/>
    <col min="26" max="26" width="9.5703125" customWidth="1"/>
    <col min="27" max="27" width="12.7109375" customWidth="1"/>
    <col min="28" max="28" width="9.5703125" customWidth="1"/>
    <col min="29" max="29" width="12.7109375" customWidth="1"/>
    <col min="30" max="30" width="9.5703125" customWidth="1"/>
    <col min="31" max="31" width="18.85546875" hidden="1" customWidth="1"/>
    <col min="32" max="32" width="1.140625" customWidth="1"/>
    <col min="33" max="33" width="1" customWidth="1"/>
    <col min="34" max="34" width="18.85546875" customWidth="1"/>
    <col min="35" max="35" width="12.7109375" customWidth="1"/>
    <col min="36" max="36" width="9.5703125" customWidth="1"/>
    <col min="37" max="37" width="12.7109375" customWidth="1"/>
    <col min="38" max="38" width="9.7109375" customWidth="1"/>
    <col min="39" max="39" width="12.7109375" customWidth="1"/>
    <col min="40" max="40" width="9.5703125" customWidth="1"/>
    <col min="41" max="41" width="12.7109375" customWidth="1"/>
    <col min="42" max="42" width="9.5703125" customWidth="1"/>
    <col min="43" max="43" width="12.7109375" customWidth="1"/>
    <col min="44" max="44" width="9.5703125" customWidth="1"/>
    <col min="45" max="45" width="12.85546875" customWidth="1"/>
    <col min="46" max="46" width="9.7109375" customWidth="1"/>
    <col min="47" max="47" width="1.140625" customWidth="1"/>
  </cols>
  <sheetData>
    <row r="1" spans="1:47" x14ac:dyDescent="0.2">
      <c r="A1" s="25"/>
      <c r="B1" s="38"/>
      <c r="C1" s="38"/>
      <c r="D1" s="38"/>
      <c r="E1" s="222"/>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row>
    <row r="2" spans="1:47" ht="15.75" x14ac:dyDescent="0.25">
      <c r="A2" s="26"/>
      <c r="B2" s="38"/>
      <c r="C2" s="767" t="str">
        <f>'WK1 - Identification'!E11</f>
        <v>Shoalhaven City Council</v>
      </c>
      <c r="D2" s="768"/>
      <c r="E2" s="768"/>
      <c r="F2" s="768"/>
      <c r="G2" s="768"/>
      <c r="H2" s="768"/>
      <c r="I2" s="769"/>
      <c r="J2" s="213"/>
      <c r="K2" s="213"/>
      <c r="L2" s="213"/>
      <c r="M2" s="213"/>
      <c r="N2" s="213"/>
      <c r="O2" s="213"/>
      <c r="P2" s="213"/>
      <c r="Q2" s="213"/>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21" t="s">
        <v>77</v>
      </c>
      <c r="AS2" s="221"/>
      <c r="AT2" s="221"/>
      <c r="AU2" s="221"/>
    </row>
    <row r="3" spans="1:47" x14ac:dyDescent="0.2">
      <c r="A3" s="26"/>
      <c r="B3" s="38"/>
      <c r="C3" s="38"/>
      <c r="D3" s="38"/>
      <c r="E3" s="222"/>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47" ht="30" x14ac:dyDescent="0.4">
      <c r="A4" s="26"/>
      <c r="B4" s="38"/>
      <c r="C4" s="757" t="s">
        <v>437</v>
      </c>
      <c r="D4" s="757"/>
      <c r="E4" s="757"/>
      <c r="F4" s="757"/>
      <c r="G4" s="757"/>
      <c r="H4" s="757"/>
      <c r="I4" s="757"/>
      <c r="J4" s="757"/>
      <c r="K4" s="757"/>
      <c r="L4" s="757"/>
      <c r="M4" s="757"/>
      <c r="N4" s="223"/>
      <c r="O4" s="223"/>
      <c r="P4" s="223"/>
      <c r="Q4" s="223"/>
      <c r="R4" s="223"/>
      <c r="S4" s="223"/>
      <c r="T4" s="223"/>
      <c r="U4" s="223"/>
      <c r="V4" s="223"/>
      <c r="W4" s="223"/>
      <c r="X4" s="223"/>
      <c r="Y4" s="223"/>
      <c r="Z4" s="223"/>
      <c r="AA4" s="223"/>
      <c r="AB4" s="223"/>
      <c r="AC4" s="223"/>
      <c r="AD4" s="223"/>
      <c r="AE4" s="223"/>
      <c r="AF4" s="38"/>
      <c r="AG4" s="38"/>
      <c r="AH4" s="223"/>
      <c r="AI4" s="223"/>
      <c r="AJ4" s="223"/>
      <c r="AK4" s="223"/>
      <c r="AL4" s="223"/>
      <c r="AM4" s="223"/>
      <c r="AN4" s="223"/>
      <c r="AO4" s="223"/>
      <c r="AP4" s="223"/>
      <c r="AQ4" s="223"/>
      <c r="AR4" s="223"/>
      <c r="AS4" s="223"/>
      <c r="AT4" s="223"/>
      <c r="AU4" s="223"/>
    </row>
    <row r="5" spans="1:47" x14ac:dyDescent="0.2">
      <c r="A5" s="26"/>
      <c r="B5" s="38"/>
      <c r="C5" s="38"/>
      <c r="D5" s="38"/>
      <c r="E5" s="222"/>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7" ht="23.25" x14ac:dyDescent="0.35">
      <c r="A6" s="27"/>
      <c r="B6" s="82"/>
      <c r="C6" s="791" t="s">
        <v>881</v>
      </c>
      <c r="D6" s="791"/>
      <c r="E6" s="791"/>
      <c r="F6" s="791"/>
      <c r="G6" s="791"/>
      <c r="H6" s="791"/>
      <c r="I6" s="791"/>
      <c r="J6" s="791"/>
      <c r="K6" s="791"/>
      <c r="L6" s="791"/>
      <c r="M6" s="791"/>
      <c r="N6" s="224"/>
      <c r="O6" s="224"/>
      <c r="P6" s="224"/>
      <c r="Q6" s="224"/>
      <c r="R6" s="224"/>
      <c r="S6" s="224"/>
      <c r="T6" s="224"/>
      <c r="U6" s="224"/>
      <c r="V6" s="224"/>
      <c r="W6" s="224"/>
      <c r="X6" s="224"/>
      <c r="Y6" s="224"/>
      <c r="Z6" s="224"/>
      <c r="AA6" s="224"/>
      <c r="AB6" s="224"/>
      <c r="AC6" s="224"/>
      <c r="AD6" s="224"/>
      <c r="AE6" s="224"/>
      <c r="AF6" s="38"/>
      <c r="AG6" s="38"/>
      <c r="AH6" s="224"/>
      <c r="AI6" s="224"/>
      <c r="AJ6" s="224"/>
      <c r="AK6" s="224"/>
      <c r="AL6" s="224"/>
      <c r="AM6" s="224"/>
      <c r="AN6" s="224"/>
      <c r="AO6" s="224"/>
      <c r="AP6" s="224"/>
      <c r="AQ6" s="224"/>
      <c r="AR6" s="224"/>
      <c r="AS6" s="224"/>
      <c r="AT6" s="224"/>
      <c r="AU6" s="224"/>
    </row>
    <row r="7" spans="1:47" ht="15" x14ac:dyDescent="0.2">
      <c r="A7" s="26"/>
      <c r="B7" s="38"/>
      <c r="C7" s="716" t="s">
        <v>882</v>
      </c>
      <c r="D7" s="817"/>
      <c r="E7" s="817"/>
      <c r="F7" s="817"/>
      <c r="G7" s="817"/>
      <c r="H7" s="817"/>
      <c r="I7" s="817"/>
      <c r="J7" s="817"/>
      <c r="K7" s="817"/>
      <c r="L7" s="817"/>
      <c r="M7" s="817"/>
      <c r="N7" s="38"/>
      <c r="O7" s="38"/>
      <c r="P7" s="442" t="s">
        <v>130</v>
      </c>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row>
    <row r="8" spans="1:47" ht="15" x14ac:dyDescent="0.2">
      <c r="A8" s="26"/>
      <c r="B8" s="38"/>
      <c r="C8" s="716" t="s">
        <v>883</v>
      </c>
      <c r="D8" s="817"/>
      <c r="E8" s="817"/>
      <c r="F8" s="817"/>
      <c r="G8" s="817"/>
      <c r="H8" s="817"/>
      <c r="I8" s="817"/>
      <c r="J8" s="817"/>
      <c r="K8" s="817"/>
      <c r="L8" s="817"/>
      <c r="M8" s="817"/>
      <c r="N8" s="38"/>
      <c r="O8" s="38"/>
      <c r="P8" s="442" t="s">
        <v>133</v>
      </c>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row>
    <row r="9" spans="1:47" ht="15" x14ac:dyDescent="0.2">
      <c r="A9" s="26"/>
      <c r="B9" s="38"/>
      <c r="C9" s="209"/>
      <c r="D9" s="209"/>
      <c r="E9" s="209"/>
      <c r="F9" s="209"/>
      <c r="G9" s="209"/>
      <c r="H9" s="209"/>
      <c r="I9" s="209"/>
      <c r="J9" s="209"/>
      <c r="K9" s="209"/>
      <c r="L9" s="209"/>
      <c r="M9" s="209"/>
      <c r="N9" s="38"/>
      <c r="O9" s="38"/>
      <c r="P9" s="442"/>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row>
    <row r="10" spans="1:47" ht="15" x14ac:dyDescent="0.2">
      <c r="A10" s="26"/>
      <c r="B10" s="38"/>
      <c r="C10" s="716" t="s">
        <v>884</v>
      </c>
      <c r="D10" s="817"/>
      <c r="E10" s="817"/>
      <c r="F10" s="817"/>
      <c r="G10" s="817"/>
      <c r="H10" s="817"/>
      <c r="I10" s="817"/>
      <c r="J10" s="817"/>
      <c r="K10" s="817"/>
      <c r="L10" s="817"/>
      <c r="M10" s="817"/>
      <c r="N10" s="38"/>
      <c r="O10" s="38"/>
      <c r="P10" s="442" t="s">
        <v>135</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row>
    <row r="11" spans="1:47" ht="15" x14ac:dyDescent="0.2">
      <c r="A11" s="26"/>
      <c r="B11" s="38"/>
      <c r="C11" s="209"/>
      <c r="D11" s="209"/>
      <c r="E11" s="209"/>
      <c r="F11" s="209"/>
      <c r="G11" s="209"/>
      <c r="H11" s="209"/>
      <c r="I11" s="209"/>
      <c r="J11" s="209"/>
      <c r="K11" s="209"/>
      <c r="L11" s="209"/>
      <c r="M11" s="209"/>
      <c r="N11" s="209"/>
      <c r="O11" s="209"/>
      <c r="P11" s="442"/>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row>
    <row r="12" spans="1:47" ht="15" x14ac:dyDescent="0.2">
      <c r="A12" s="26"/>
      <c r="B12" s="38"/>
      <c r="C12" s="716" t="s">
        <v>885</v>
      </c>
      <c r="D12" s="817"/>
      <c r="E12" s="817"/>
      <c r="F12" s="817"/>
      <c r="G12" s="817"/>
      <c r="H12" s="817"/>
      <c r="I12" s="817"/>
      <c r="J12" s="817"/>
      <c r="K12" s="817"/>
      <c r="L12" s="817"/>
      <c r="M12" s="817"/>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row>
    <row r="13" spans="1:47" ht="15" x14ac:dyDescent="0.2">
      <c r="A13" s="26"/>
      <c r="B13" s="38"/>
      <c r="C13" s="209" t="s">
        <v>4</v>
      </c>
      <c r="D13" s="324"/>
      <c r="E13" s="324"/>
      <c r="F13" s="324"/>
      <c r="G13" s="324"/>
      <c r="H13" s="324"/>
      <c r="I13" s="324"/>
      <c r="J13" s="324"/>
      <c r="K13" s="324"/>
      <c r="L13" s="324"/>
      <c r="M13" s="324"/>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row>
    <row r="14" spans="1:47" ht="15" x14ac:dyDescent="0.2">
      <c r="A14" s="26"/>
      <c r="B14" s="38"/>
      <c r="C14" s="209"/>
      <c r="D14" s="324"/>
      <c r="E14" s="324"/>
      <c r="F14" s="324"/>
      <c r="G14" s="324"/>
      <c r="H14" s="324"/>
      <c r="I14" s="324"/>
      <c r="J14" s="324"/>
      <c r="K14" s="324"/>
      <c r="L14" s="324"/>
      <c r="M14" s="324"/>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75" x14ac:dyDescent="0.25">
      <c r="A15" s="26"/>
      <c r="B15" s="38"/>
      <c r="C15" s="818" t="s">
        <v>886</v>
      </c>
      <c r="D15" s="818"/>
      <c r="E15" s="818"/>
      <c r="F15" s="818"/>
      <c r="G15" s="818"/>
      <c r="H15" s="818"/>
      <c r="I15" s="818"/>
      <c r="J15" s="818"/>
      <c r="K15" s="818"/>
      <c r="L15" s="818"/>
      <c r="M15" s="81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5.75" x14ac:dyDescent="0.25">
      <c r="A16" s="26"/>
      <c r="B16" s="38"/>
      <c r="C16" s="117"/>
      <c r="D16" s="117"/>
      <c r="E16" s="117"/>
      <c r="F16" s="117"/>
      <c r="G16" s="117"/>
      <c r="H16" s="117"/>
      <c r="I16" s="117"/>
      <c r="J16" s="117"/>
      <c r="K16" s="117"/>
      <c r="L16" s="117"/>
      <c r="M16" s="117"/>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row>
    <row r="17" spans="1:48" ht="15.75" x14ac:dyDescent="0.25">
      <c r="A17" s="26"/>
      <c r="B17" s="38"/>
      <c r="C17" s="819" t="s">
        <v>887</v>
      </c>
      <c r="D17" s="819"/>
      <c r="E17" s="819"/>
      <c r="F17" s="819"/>
      <c r="G17" s="819"/>
      <c r="H17" s="819"/>
      <c r="I17" s="819"/>
      <c r="J17" s="819"/>
      <c r="K17" s="819"/>
      <c r="L17" s="819"/>
      <c r="M17" s="117"/>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row>
    <row r="18" spans="1:48" ht="15.75" x14ac:dyDescent="0.25">
      <c r="A18" s="26"/>
      <c r="B18" s="38"/>
      <c r="C18" s="677"/>
      <c r="D18" s="677"/>
      <c r="E18" s="677"/>
      <c r="F18" s="677"/>
      <c r="G18" s="677"/>
      <c r="H18" s="677"/>
      <c r="I18" s="677"/>
      <c r="J18" s="677"/>
      <c r="K18" s="677"/>
      <c r="L18" s="677"/>
      <c r="M18" s="117"/>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row>
    <row r="19" spans="1:48" ht="15.75" x14ac:dyDescent="0.25">
      <c r="A19" s="26"/>
      <c r="B19" s="38"/>
      <c r="C19" s="117"/>
      <c r="D19" s="38"/>
      <c r="E19" s="440"/>
      <c r="F19" s="440" t="s">
        <v>457</v>
      </c>
      <c r="G19" s="439" t="s">
        <v>980</v>
      </c>
      <c r="H19" s="440"/>
      <c r="I19" s="440"/>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row>
    <row r="20" spans="1:48" ht="12.6" customHeight="1" x14ac:dyDescent="0.25">
      <c r="A20" s="26"/>
      <c r="B20" s="38"/>
      <c r="C20" s="117"/>
      <c r="D20" s="38"/>
      <c r="E20" s="440"/>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row>
    <row r="21" spans="1:48" ht="15" x14ac:dyDescent="0.2">
      <c r="A21" s="26"/>
      <c r="B21" s="38"/>
      <c r="C21" s="38"/>
      <c r="D21" s="123"/>
      <c r="E21" s="225"/>
      <c r="F21" s="82"/>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row>
    <row r="22" spans="1:48" ht="15.75" x14ac:dyDescent="0.25">
      <c r="A22" s="26"/>
      <c r="B22" s="38"/>
      <c r="C22" s="84" t="s">
        <v>378</v>
      </c>
      <c r="D22" s="123"/>
      <c r="E22" s="225"/>
      <c r="F22" s="82"/>
      <c r="G22" s="38"/>
      <c r="H22" s="38"/>
      <c r="I22" s="38"/>
      <c r="J22" s="38"/>
      <c r="K22" s="38"/>
      <c r="L22" s="38"/>
      <c r="M22" s="38"/>
      <c r="N22" s="38"/>
      <c r="O22" s="38"/>
      <c r="P22" s="84" t="s">
        <v>378</v>
      </c>
      <c r="Q22" s="38"/>
      <c r="R22" s="38"/>
      <c r="S22" s="38"/>
      <c r="T22" s="38"/>
      <c r="U22" s="38"/>
      <c r="V22" s="38"/>
      <c r="W22" s="38"/>
      <c r="X22" s="38"/>
      <c r="Y22" s="38"/>
      <c r="Z22" s="38"/>
      <c r="AA22" s="38"/>
      <c r="AB22" s="38"/>
      <c r="AC22" s="38"/>
      <c r="AD22" s="38"/>
      <c r="AE22" s="38"/>
      <c r="AF22" s="38"/>
      <c r="AG22" s="38"/>
      <c r="AH22" s="84" t="s">
        <v>378</v>
      </c>
      <c r="AI22" s="38"/>
      <c r="AJ22" s="38"/>
      <c r="AK22" s="38"/>
      <c r="AL22" s="38"/>
      <c r="AM22" s="38"/>
      <c r="AN22" s="38"/>
      <c r="AO22" s="38"/>
      <c r="AP22" s="38"/>
      <c r="AQ22" s="38"/>
      <c r="AR22" s="38"/>
      <c r="AS22" s="38"/>
      <c r="AT22" s="38"/>
      <c r="AU22" s="38"/>
    </row>
    <row r="23" spans="1:48" ht="4.5" customHeight="1" thickBot="1" x14ac:dyDescent="0.3">
      <c r="A23" s="26"/>
      <c r="B23" s="38"/>
      <c r="C23" s="84"/>
      <c r="D23" s="38"/>
      <c r="E23" s="222"/>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48" ht="17.25" thickTop="1" thickBot="1" x14ac:dyDescent="0.3">
      <c r="A24" s="26"/>
      <c r="B24" s="38"/>
      <c r="C24" s="38"/>
      <c r="D24" s="38"/>
      <c r="E24" s="222"/>
      <c r="F24" s="226"/>
      <c r="G24" s="227"/>
      <c r="H24" s="814" t="s">
        <v>401</v>
      </c>
      <c r="I24" s="815"/>
      <c r="J24" s="815"/>
      <c r="K24" s="815"/>
      <c r="L24" s="815"/>
      <c r="M24" s="816"/>
      <c r="N24" s="38"/>
      <c r="O24" s="38"/>
      <c r="P24" s="38"/>
      <c r="Q24" s="820" t="s">
        <v>906</v>
      </c>
      <c r="R24" s="821"/>
      <c r="S24" s="821"/>
      <c r="T24" s="821"/>
      <c r="U24" s="821"/>
      <c r="V24" s="821"/>
      <c r="W24" s="821"/>
      <c r="X24" s="821"/>
      <c r="Y24" s="821"/>
      <c r="Z24" s="821"/>
      <c r="AA24" s="821"/>
      <c r="AB24" s="821"/>
      <c r="AC24" s="821"/>
      <c r="AD24" s="822"/>
      <c r="AE24" s="229"/>
      <c r="AF24" s="38"/>
      <c r="AG24" s="38"/>
      <c r="AH24" s="820" t="s">
        <v>906</v>
      </c>
      <c r="AI24" s="821"/>
      <c r="AJ24" s="821"/>
      <c r="AK24" s="821"/>
      <c r="AL24" s="821"/>
      <c r="AM24" s="821"/>
      <c r="AN24" s="821"/>
      <c r="AO24" s="821"/>
      <c r="AP24" s="821"/>
      <c r="AQ24" s="821"/>
      <c r="AR24" s="821"/>
      <c r="AS24" s="821"/>
      <c r="AT24" s="822"/>
      <c r="AU24" s="324"/>
      <c r="AV24" s="194"/>
    </row>
    <row r="25" spans="1:48" ht="52.9" customHeight="1" thickTop="1" x14ac:dyDescent="0.2">
      <c r="A25" s="26"/>
      <c r="B25" s="38"/>
      <c r="C25" s="230" t="s">
        <v>389</v>
      </c>
      <c r="D25" s="834" t="s">
        <v>888</v>
      </c>
      <c r="E25" s="231" t="s">
        <v>393</v>
      </c>
      <c r="F25" s="232" t="s">
        <v>410</v>
      </c>
      <c r="G25" s="233" t="s">
        <v>919</v>
      </c>
      <c r="H25" s="233" t="s">
        <v>920</v>
      </c>
      <c r="I25" s="233" t="s">
        <v>921</v>
      </c>
      <c r="J25" s="233" t="s">
        <v>922</v>
      </c>
      <c r="K25" s="233" t="s">
        <v>923</v>
      </c>
      <c r="L25" s="233" t="s">
        <v>924</v>
      </c>
      <c r="M25" s="234" t="s">
        <v>925</v>
      </c>
      <c r="N25" s="38"/>
      <c r="O25" s="38"/>
      <c r="P25" s="235" t="s">
        <v>393</v>
      </c>
      <c r="Q25" s="823" t="s">
        <v>394</v>
      </c>
      <c r="R25" s="824"/>
      <c r="S25" s="823" t="s">
        <v>395</v>
      </c>
      <c r="T25" s="824"/>
      <c r="U25" s="824"/>
      <c r="V25" s="825"/>
      <c r="W25" s="823" t="s">
        <v>396</v>
      </c>
      <c r="X25" s="824"/>
      <c r="Y25" s="824"/>
      <c r="Z25" s="825"/>
      <c r="AA25" s="828" t="s">
        <v>397</v>
      </c>
      <c r="AB25" s="829"/>
      <c r="AC25" s="829"/>
      <c r="AD25" s="830"/>
      <c r="AE25" s="237" t="s">
        <v>393</v>
      </c>
      <c r="AF25" s="38"/>
      <c r="AG25" s="38"/>
      <c r="AH25" s="238" t="s">
        <v>393</v>
      </c>
      <c r="AI25" s="831" t="s">
        <v>398</v>
      </c>
      <c r="AJ25" s="832"/>
      <c r="AK25" s="832"/>
      <c r="AL25" s="833"/>
      <c r="AM25" s="794" t="s">
        <v>399</v>
      </c>
      <c r="AN25" s="826"/>
      <c r="AO25" s="826"/>
      <c r="AP25" s="827"/>
      <c r="AQ25" s="793" t="s">
        <v>400</v>
      </c>
      <c r="AR25" s="826"/>
      <c r="AS25" s="826"/>
      <c r="AT25" s="827"/>
      <c r="AU25" s="236"/>
    </row>
    <row r="26" spans="1:48" ht="12.75" x14ac:dyDescent="0.2">
      <c r="A26" s="26"/>
      <c r="B26" s="38"/>
      <c r="C26" s="239"/>
      <c r="D26" s="835"/>
      <c r="E26" s="240"/>
      <c r="F26" s="160" t="str">
        <f>'WK5a - Impact on Rates'!E57</f>
        <v>2014/15</v>
      </c>
      <c r="G26" s="160" t="str">
        <f>'WK5a - Impact on Rates'!F57</f>
        <v>2015/16</v>
      </c>
      <c r="H26" s="160" t="str">
        <f>'WK5a - Impact on Rates'!G57</f>
        <v>2016/17</v>
      </c>
      <c r="I26" s="160" t="str">
        <f>'WK5a - Impact on Rates'!H57</f>
        <v>2017/18</v>
      </c>
      <c r="J26" s="160" t="str">
        <f>'WK5a - Impact on Rates'!I57</f>
        <v>2018/19</v>
      </c>
      <c r="K26" s="160" t="str">
        <f>'WK5a - Impact on Rates'!J57</f>
        <v>2019/20</v>
      </c>
      <c r="L26" s="160" t="str">
        <f>'WK5a - Impact on Rates'!K57</f>
        <v>2020/21</v>
      </c>
      <c r="M26" s="182" t="str">
        <f>'WK5a - Impact on Rates'!L57</f>
        <v>2021/22</v>
      </c>
      <c r="N26" s="38"/>
      <c r="O26" s="38"/>
      <c r="P26" s="241" t="s">
        <v>129</v>
      </c>
      <c r="Q26" s="242" t="s">
        <v>102</v>
      </c>
      <c r="R26" s="243" t="s">
        <v>125</v>
      </c>
      <c r="S26" s="242" t="s">
        <v>102</v>
      </c>
      <c r="T26" s="244" t="s">
        <v>125</v>
      </c>
      <c r="U26" s="245" t="s">
        <v>103</v>
      </c>
      <c r="V26" s="246" t="s">
        <v>125</v>
      </c>
      <c r="W26" s="242" t="s">
        <v>102</v>
      </c>
      <c r="X26" s="247" t="s">
        <v>125</v>
      </c>
      <c r="Y26" s="244" t="s">
        <v>103</v>
      </c>
      <c r="Z26" s="246" t="s">
        <v>125</v>
      </c>
      <c r="AA26" s="245" t="s">
        <v>102</v>
      </c>
      <c r="AB26" s="247" t="s">
        <v>125</v>
      </c>
      <c r="AC26" s="244" t="s">
        <v>103</v>
      </c>
      <c r="AD26" s="248" t="s">
        <v>125</v>
      </c>
      <c r="AE26" s="249"/>
      <c r="AF26" s="38"/>
      <c r="AG26" s="38"/>
      <c r="AH26" s="250" t="s">
        <v>129</v>
      </c>
      <c r="AI26" s="242" t="s">
        <v>102</v>
      </c>
      <c r="AJ26" s="247" t="s">
        <v>125</v>
      </c>
      <c r="AK26" s="244" t="s">
        <v>103</v>
      </c>
      <c r="AL26" s="246" t="s">
        <v>125</v>
      </c>
      <c r="AM26" s="245" t="s">
        <v>102</v>
      </c>
      <c r="AN26" s="247" t="s">
        <v>125</v>
      </c>
      <c r="AO26" s="244" t="s">
        <v>103</v>
      </c>
      <c r="AP26" s="248" t="s">
        <v>125</v>
      </c>
      <c r="AQ26" s="251" t="s">
        <v>102</v>
      </c>
      <c r="AR26" s="247" t="s">
        <v>125</v>
      </c>
      <c r="AS26" s="244" t="s">
        <v>103</v>
      </c>
      <c r="AT26" s="248" t="s">
        <v>125</v>
      </c>
      <c r="AU26" s="351"/>
    </row>
    <row r="27" spans="1:48" ht="12.75" x14ac:dyDescent="0.2">
      <c r="A27" s="26"/>
      <c r="B27" s="38"/>
      <c r="C27" s="252" t="s">
        <v>14</v>
      </c>
      <c r="D27" s="177">
        <v>6596</v>
      </c>
      <c r="E27" s="253">
        <v>50000</v>
      </c>
      <c r="F27" s="23">
        <v>530.06573777880203</v>
      </c>
      <c r="G27" s="23">
        <f>+F27*1.024</f>
        <v>542.78731548549331</v>
      </c>
      <c r="H27" s="23">
        <f t="shared" ref="H27:M27" si="0">+G27*1.03</f>
        <v>559.07093495005813</v>
      </c>
      <c r="I27" s="23">
        <f t="shared" si="0"/>
        <v>575.84306299855984</v>
      </c>
      <c r="J27" s="23">
        <f t="shared" si="0"/>
        <v>593.11835488851671</v>
      </c>
      <c r="K27" s="23">
        <f t="shared" si="0"/>
        <v>610.9119055351722</v>
      </c>
      <c r="L27" s="23">
        <f t="shared" si="0"/>
        <v>629.2392627012274</v>
      </c>
      <c r="M27" s="23">
        <f t="shared" si="0"/>
        <v>648.1164405822642</v>
      </c>
      <c r="N27" s="38"/>
      <c r="O27" s="38"/>
      <c r="P27" s="254">
        <v>50000</v>
      </c>
      <c r="Q27" s="255">
        <f>IF(G27="","",IF(F27=0,"",G27-F27))</f>
        <v>12.721577706691278</v>
      </c>
      <c r="R27" s="256">
        <f t="shared" ref="R27:R40" si="1">IF(Q27="","",Q27/F27)</f>
        <v>2.4000000000000056E-2</v>
      </c>
      <c r="S27" s="255">
        <f>IF(H27="","",IF(G27=0,"",H27-G27))</f>
        <v>16.283619464564822</v>
      </c>
      <c r="T27" s="257">
        <f t="shared" ref="T27:T40" si="2">IF(S27="","",S27/G27)</f>
        <v>3.0000000000000041E-2</v>
      </c>
      <c r="U27" s="258">
        <f>IF(S27="","",S27+Q27)</f>
        <v>29.0051971712561</v>
      </c>
      <c r="V27" s="259">
        <f t="shared" ref="V27:V40" si="3">IF(T27="","",U27/F27)</f>
        <v>5.4720000000000102E-2</v>
      </c>
      <c r="W27" s="255">
        <f>IF(I27="","",IF(H27=0,"",I27-H27))</f>
        <v>16.772128048501713</v>
      </c>
      <c r="X27" s="256">
        <f t="shared" ref="X27:X40" si="4">IF(W27="","",W27/H27)</f>
        <v>2.9999999999999943E-2</v>
      </c>
      <c r="Y27" s="260">
        <f>IF(W27="","",W27+U27)</f>
        <v>45.777325219757813</v>
      </c>
      <c r="Z27" s="259">
        <f t="shared" ref="Z27:Z40" si="5">IF(X27="","",Y27/F27)</f>
        <v>8.6361600000000038E-2</v>
      </c>
      <c r="AA27" s="258">
        <f>IF(J27="","",IF(I27=0,"",J27-I27))</f>
        <v>17.275291889956861</v>
      </c>
      <c r="AB27" s="256">
        <f t="shared" ref="AB27:AB40" si="6">IF(AA27="","",AA27/I27)</f>
        <v>3.0000000000000113E-2</v>
      </c>
      <c r="AC27" s="260">
        <f>IF(AA27="","",AA27+Y27)</f>
        <v>63.052617109714674</v>
      </c>
      <c r="AD27" s="261">
        <f t="shared" ref="AD27:AD40" si="7">IF(AB27="","",AC27/F27)</f>
        <v>0.11895244800000017</v>
      </c>
      <c r="AE27" s="262">
        <v>50000</v>
      </c>
      <c r="AF27" s="38"/>
      <c r="AG27" s="38"/>
      <c r="AH27" s="263">
        <v>50000</v>
      </c>
      <c r="AI27" s="255">
        <f>IF(K27="","",IF(J27=0,"",K27-J27))</f>
        <v>17.79355064665549</v>
      </c>
      <c r="AJ27" s="257">
        <f t="shared" ref="AJ27:AJ40" si="8">IF(AI27="","",AI27/J27)</f>
        <v>2.9999999999999982E-2</v>
      </c>
      <c r="AK27" s="260">
        <f>IF(AI27="","",AI27+AC27)</f>
        <v>80.846167756370164</v>
      </c>
      <c r="AL27" s="259">
        <f t="shared" ref="AL27:AL40" si="9">IF(AK27="","",AK27/F27)</f>
        <v>0.15252102144000015</v>
      </c>
      <c r="AM27" s="258">
        <f>IF(L27="","",IF(K27=0,"",L27-K27))</f>
        <v>18.327357166055208</v>
      </c>
      <c r="AN27" s="257">
        <f t="shared" ref="AN27:AN40" si="10">IF(AM27="","",AM27/K27)</f>
        <v>3.0000000000000068E-2</v>
      </c>
      <c r="AO27" s="260">
        <f>IF(AM27="","",AM27+AK27)</f>
        <v>99.173524922425372</v>
      </c>
      <c r="AP27" s="261">
        <f t="shared" ref="AP27:AP40" si="11">IF(AO27="","",AO27/F27)</f>
        <v>0.18709665208320023</v>
      </c>
      <c r="AQ27" s="255">
        <f>IF(M27="","",IF(L27=0,"",M27-L27))</f>
        <v>18.8771778810368</v>
      </c>
      <c r="AR27" s="257">
        <f t="shared" ref="AR27:AR40" si="12">IF(AQ27="","",AQ27/L27)</f>
        <v>2.9999999999999964E-2</v>
      </c>
      <c r="AS27" s="260">
        <f>IF(AQ27="","",AQ27+AO27)</f>
        <v>118.05070280346217</v>
      </c>
      <c r="AT27" s="261">
        <f t="shared" ref="AT27:AT40" si="13">IF(AS27="","",AS27/F27)</f>
        <v>0.2227095516456962</v>
      </c>
      <c r="AU27" s="340"/>
    </row>
    <row r="28" spans="1:48" ht="12.75" x14ac:dyDescent="0.2">
      <c r="A28" s="26"/>
      <c r="B28" s="38"/>
      <c r="C28" s="252" t="s">
        <v>380</v>
      </c>
      <c r="D28" s="177">
        <v>25436</v>
      </c>
      <c r="E28" s="253">
        <v>150000</v>
      </c>
      <c r="F28" s="23">
        <v>813.36810436096982</v>
      </c>
      <c r="G28" s="23">
        <f t="shared" ref="G28:G40" si="14">+F28*1.024</f>
        <v>832.88893886563312</v>
      </c>
      <c r="H28" s="23">
        <f t="shared" ref="H28:M40" si="15">+G28*1.03</f>
        <v>857.87560703160216</v>
      </c>
      <c r="I28" s="23">
        <f t="shared" si="15"/>
        <v>883.61187524255024</v>
      </c>
      <c r="J28" s="23">
        <f t="shared" si="15"/>
        <v>910.12023149982679</v>
      </c>
      <c r="K28" s="23">
        <f t="shared" si="15"/>
        <v>937.42383844482163</v>
      </c>
      <c r="L28" s="23">
        <f t="shared" si="15"/>
        <v>965.54655359816627</v>
      </c>
      <c r="M28" s="23">
        <f t="shared" si="15"/>
        <v>994.51295020611133</v>
      </c>
      <c r="N28" s="38"/>
      <c r="O28" s="38"/>
      <c r="P28" s="254">
        <v>150000</v>
      </c>
      <c r="Q28" s="255">
        <f t="shared" ref="Q28:Q40" si="16">IF(G28="","",IF(F28=0,"",G28-F28))</f>
        <v>19.520834504663299</v>
      </c>
      <c r="R28" s="256">
        <f t="shared" si="1"/>
        <v>2.4000000000000028E-2</v>
      </c>
      <c r="S28" s="255">
        <f t="shared" ref="S28:S40" si="17">IF(H28="","",IF(G28=0,"",H28-G28))</f>
        <v>24.986668165969036</v>
      </c>
      <c r="T28" s="257">
        <f t="shared" si="2"/>
        <v>3.0000000000000051E-2</v>
      </c>
      <c r="U28" s="258">
        <f t="shared" ref="U28:U40" si="18">IF(S28="","",S28+Q28)</f>
        <v>44.507502670632334</v>
      </c>
      <c r="V28" s="259">
        <f t="shared" si="3"/>
        <v>5.4720000000000081E-2</v>
      </c>
      <c r="W28" s="255">
        <f t="shared" ref="W28:W40" si="19">IF(I28="","",IF(H28=0,"",I28-H28))</f>
        <v>25.736268210948083</v>
      </c>
      <c r="X28" s="256">
        <f t="shared" si="4"/>
        <v>3.000000000000002E-2</v>
      </c>
      <c r="Y28" s="260">
        <f t="shared" ref="Y28:Y40" si="20">IF(W28="","",W28+U28)</f>
        <v>70.243770881580417</v>
      </c>
      <c r="Z28" s="259">
        <f t="shared" si="5"/>
        <v>8.6361600000000108E-2</v>
      </c>
      <c r="AA28" s="258">
        <f t="shared" ref="AA28:AA40" si="21">IF(J28="","",IF(I28=0,"",J28-I28))</f>
        <v>26.508356257276546</v>
      </c>
      <c r="AB28" s="256">
        <f t="shared" si="6"/>
        <v>3.0000000000000044E-2</v>
      </c>
      <c r="AC28" s="260">
        <f t="shared" ref="AC28:AC40" si="22">IF(AA28="","",AA28+Y28)</f>
        <v>96.752127138856963</v>
      </c>
      <c r="AD28" s="261">
        <f t="shared" si="7"/>
        <v>0.11895244800000015</v>
      </c>
      <c r="AE28" s="262">
        <v>150000</v>
      </c>
      <c r="AF28" s="38"/>
      <c r="AG28" s="38"/>
      <c r="AH28" s="263">
        <v>150000</v>
      </c>
      <c r="AI28" s="255">
        <f t="shared" ref="AI28:AI40" si="23">IF(K28="","",IF(J28=0,"",K28-J28))</f>
        <v>27.30360694499484</v>
      </c>
      <c r="AJ28" s="257">
        <f t="shared" si="8"/>
        <v>3.0000000000000041E-2</v>
      </c>
      <c r="AK28" s="260">
        <f t="shared" ref="AK28:AK40" si="24">IF(AI28="","",AI28+AC28)</f>
        <v>124.0557340838518</v>
      </c>
      <c r="AL28" s="259">
        <f t="shared" si="9"/>
        <v>0.15252102144000021</v>
      </c>
      <c r="AM28" s="258">
        <f t="shared" ref="AM28:AM40" si="25">IF(L28="","",IF(K28=0,"",L28-K28))</f>
        <v>28.122715153344643</v>
      </c>
      <c r="AN28" s="257">
        <f t="shared" si="10"/>
        <v>2.9999999999999995E-2</v>
      </c>
      <c r="AO28" s="260">
        <f t="shared" ref="AO28:AO40" si="26">IF(AM28="","",AM28+AK28)</f>
        <v>152.17844923719645</v>
      </c>
      <c r="AP28" s="261">
        <f t="shared" si="11"/>
        <v>0.1870966520832002</v>
      </c>
      <c r="AQ28" s="255">
        <f t="shared" ref="AQ28:AQ40" si="27">IF(M28="","",IF(L28=0,"",M28-L28))</f>
        <v>28.966396607945057</v>
      </c>
      <c r="AR28" s="257">
        <f t="shared" si="12"/>
        <v>3.0000000000000072E-2</v>
      </c>
      <c r="AS28" s="260">
        <f t="shared" ref="AS28:AS40" si="28">IF(AQ28="","",AQ28+AO28)</f>
        <v>181.1448458451415</v>
      </c>
      <c r="AT28" s="261">
        <f t="shared" si="13"/>
        <v>0.22270955164569631</v>
      </c>
      <c r="AU28" s="340"/>
    </row>
    <row r="29" spans="1:48" ht="12.75" x14ac:dyDescent="0.2">
      <c r="A29" s="26"/>
      <c r="B29" s="38"/>
      <c r="C29" s="252" t="s">
        <v>381</v>
      </c>
      <c r="D29" s="177">
        <v>11141</v>
      </c>
      <c r="E29" s="253">
        <v>250000</v>
      </c>
      <c r="F29" s="23">
        <v>1031.658984361384</v>
      </c>
      <c r="G29" s="23">
        <f t="shared" si="14"/>
        <v>1056.4187999860571</v>
      </c>
      <c r="H29" s="23">
        <f t="shared" si="15"/>
        <v>1088.1113639856389</v>
      </c>
      <c r="I29" s="23">
        <f t="shared" si="15"/>
        <v>1120.7547049052082</v>
      </c>
      <c r="J29" s="23">
        <f t="shared" si="15"/>
        <v>1154.3773460523644</v>
      </c>
      <c r="K29" s="23">
        <f t="shared" si="15"/>
        <v>1189.0086664339353</v>
      </c>
      <c r="L29" s="23">
        <f t="shared" si="15"/>
        <v>1224.6789264269535</v>
      </c>
      <c r="M29" s="23">
        <f t="shared" si="15"/>
        <v>1261.4192942197622</v>
      </c>
      <c r="N29" s="38"/>
      <c r="O29" s="38"/>
      <c r="P29" s="254">
        <v>250000</v>
      </c>
      <c r="Q29" s="255">
        <f t="shared" si="16"/>
        <v>24.759815624673138</v>
      </c>
      <c r="R29" s="256">
        <f t="shared" si="1"/>
        <v>2.3999999999999924E-2</v>
      </c>
      <c r="S29" s="255">
        <f t="shared" si="17"/>
        <v>31.692563999581807</v>
      </c>
      <c r="T29" s="257">
        <f t="shared" si="2"/>
        <v>3.0000000000000089E-2</v>
      </c>
      <c r="U29" s="258">
        <f t="shared" si="18"/>
        <v>56.452379624254945</v>
      </c>
      <c r="V29" s="259">
        <f t="shared" si="3"/>
        <v>5.4720000000000012E-2</v>
      </c>
      <c r="W29" s="255">
        <f t="shared" si="19"/>
        <v>32.643340919569255</v>
      </c>
      <c r="X29" s="256">
        <f t="shared" si="4"/>
        <v>3.0000000000000079E-2</v>
      </c>
      <c r="Y29" s="260">
        <f t="shared" si="20"/>
        <v>89.0957205438242</v>
      </c>
      <c r="Z29" s="259">
        <f t="shared" si="5"/>
        <v>8.6361600000000094E-2</v>
      </c>
      <c r="AA29" s="258">
        <f t="shared" si="21"/>
        <v>33.622641147156173</v>
      </c>
      <c r="AB29" s="256">
        <f t="shared" si="6"/>
        <v>2.9999999999999936E-2</v>
      </c>
      <c r="AC29" s="260">
        <f t="shared" si="22"/>
        <v>122.71836169098037</v>
      </c>
      <c r="AD29" s="261">
        <f t="shared" si="7"/>
        <v>0.11895244800000003</v>
      </c>
      <c r="AE29" s="262">
        <v>250000</v>
      </c>
      <c r="AF29" s="38"/>
      <c r="AG29" s="38"/>
      <c r="AH29" s="263">
        <v>250000</v>
      </c>
      <c r="AI29" s="255">
        <f t="shared" si="23"/>
        <v>34.631320381570958</v>
      </c>
      <c r="AJ29" s="257">
        <f t="shared" si="8"/>
        <v>3.0000000000000023E-2</v>
      </c>
      <c r="AK29" s="260">
        <f t="shared" si="24"/>
        <v>157.34968207255133</v>
      </c>
      <c r="AL29" s="259">
        <f t="shared" si="9"/>
        <v>0.15252102144000004</v>
      </c>
      <c r="AM29" s="258">
        <f t="shared" si="25"/>
        <v>35.670259993018135</v>
      </c>
      <c r="AN29" s="257">
        <f t="shared" si="10"/>
        <v>3.0000000000000065E-2</v>
      </c>
      <c r="AO29" s="260">
        <f t="shared" si="26"/>
        <v>193.01994206556947</v>
      </c>
      <c r="AP29" s="261">
        <f t="shared" si="11"/>
        <v>0.18709665208320014</v>
      </c>
      <c r="AQ29" s="255">
        <f t="shared" si="27"/>
        <v>36.740367792808684</v>
      </c>
      <c r="AR29" s="257">
        <f t="shared" si="12"/>
        <v>3.0000000000000065E-2</v>
      </c>
      <c r="AS29" s="260">
        <f t="shared" si="28"/>
        <v>229.76030985837815</v>
      </c>
      <c r="AT29" s="261">
        <f t="shared" si="13"/>
        <v>0.22270955164569622</v>
      </c>
      <c r="AU29" s="340"/>
    </row>
    <row r="30" spans="1:48" ht="12.75" x14ac:dyDescent="0.2">
      <c r="A30" s="26"/>
      <c r="B30" s="38"/>
      <c r="C30" s="252" t="s">
        <v>382</v>
      </c>
      <c r="D30" s="177">
        <v>4566</v>
      </c>
      <c r="E30" s="253">
        <v>350000</v>
      </c>
      <c r="F30" s="23">
        <v>1251.3438157381393</v>
      </c>
      <c r="G30" s="23">
        <f t="shared" si="14"/>
        <v>1281.3760673158547</v>
      </c>
      <c r="H30" s="23">
        <f t="shared" si="15"/>
        <v>1319.8173493353304</v>
      </c>
      <c r="I30" s="23">
        <f t="shared" si="15"/>
        <v>1359.4118698153904</v>
      </c>
      <c r="J30" s="23">
        <f t="shared" si="15"/>
        <v>1400.1942259098521</v>
      </c>
      <c r="K30" s="23">
        <f t="shared" si="15"/>
        <v>1442.2000526871477</v>
      </c>
      <c r="L30" s="23">
        <f t="shared" si="15"/>
        <v>1485.4660542677623</v>
      </c>
      <c r="M30" s="23">
        <f t="shared" si="15"/>
        <v>1530.0300358957952</v>
      </c>
      <c r="N30" s="38"/>
      <c r="O30" s="38"/>
      <c r="P30" s="254">
        <v>350000</v>
      </c>
      <c r="Q30" s="255">
        <f t="shared" si="16"/>
        <v>30.032251577715442</v>
      </c>
      <c r="R30" s="256">
        <f t="shared" si="1"/>
        <v>2.400000000000008E-2</v>
      </c>
      <c r="S30" s="255">
        <f t="shared" si="17"/>
        <v>38.441282019475693</v>
      </c>
      <c r="T30" s="257">
        <f t="shared" si="2"/>
        <v>3.0000000000000041E-2</v>
      </c>
      <c r="U30" s="258">
        <f t="shared" si="18"/>
        <v>68.473533597191135</v>
      </c>
      <c r="V30" s="259">
        <f t="shared" si="3"/>
        <v>5.4720000000000123E-2</v>
      </c>
      <c r="W30" s="255">
        <f t="shared" si="19"/>
        <v>39.594520480060055</v>
      </c>
      <c r="X30" s="256">
        <f t="shared" si="4"/>
        <v>3.000000000000011E-2</v>
      </c>
      <c r="Y30" s="260">
        <f t="shared" si="20"/>
        <v>108.06805407725119</v>
      </c>
      <c r="Z30" s="259">
        <f t="shared" si="5"/>
        <v>8.6361600000000247E-2</v>
      </c>
      <c r="AA30" s="258">
        <f t="shared" si="21"/>
        <v>40.782356094461647</v>
      </c>
      <c r="AB30" s="256">
        <f t="shared" si="6"/>
        <v>2.999999999999995E-2</v>
      </c>
      <c r="AC30" s="260">
        <f t="shared" si="22"/>
        <v>148.85041017171284</v>
      </c>
      <c r="AD30" s="261">
        <f t="shared" si="7"/>
        <v>0.1189524480000002</v>
      </c>
      <c r="AE30" s="262">
        <v>350000</v>
      </c>
      <c r="AF30" s="38"/>
      <c r="AG30" s="38"/>
      <c r="AH30" s="263">
        <v>350000</v>
      </c>
      <c r="AI30" s="255">
        <f t="shared" si="23"/>
        <v>42.005826777295624</v>
      </c>
      <c r="AJ30" s="257">
        <f t="shared" si="8"/>
        <v>3.0000000000000044E-2</v>
      </c>
      <c r="AK30" s="260">
        <f t="shared" si="24"/>
        <v>190.85623694900846</v>
      </c>
      <c r="AL30" s="259">
        <f t="shared" si="9"/>
        <v>0.15252102144000027</v>
      </c>
      <c r="AM30" s="258">
        <f t="shared" si="25"/>
        <v>43.266001580614557</v>
      </c>
      <c r="AN30" s="257">
        <f t="shared" si="10"/>
        <v>3.0000000000000086E-2</v>
      </c>
      <c r="AO30" s="260">
        <f t="shared" si="26"/>
        <v>234.12223852962302</v>
      </c>
      <c r="AP30" s="261">
        <f t="shared" si="11"/>
        <v>0.18709665208320037</v>
      </c>
      <c r="AQ30" s="255">
        <f t="shared" si="27"/>
        <v>44.563981628032934</v>
      </c>
      <c r="AR30" s="257">
        <f t="shared" si="12"/>
        <v>3.0000000000000044E-2</v>
      </c>
      <c r="AS30" s="260">
        <f t="shared" si="28"/>
        <v>278.68622015765595</v>
      </c>
      <c r="AT30" s="261">
        <f t="shared" si="13"/>
        <v>0.22270955164569642</v>
      </c>
      <c r="AU30" s="340"/>
    </row>
    <row r="31" spans="1:48" ht="12.75" x14ac:dyDescent="0.2">
      <c r="A31" s="26"/>
      <c r="B31" s="38"/>
      <c r="C31" s="252" t="s">
        <v>383</v>
      </c>
      <c r="D31" s="177">
        <v>1919</v>
      </c>
      <c r="E31" s="253">
        <v>450000</v>
      </c>
      <c r="F31" s="23">
        <v>1470.636834768477</v>
      </c>
      <c r="G31" s="23">
        <f t="shared" si="14"/>
        <v>1505.9321188029205</v>
      </c>
      <c r="H31" s="23">
        <f t="shared" si="15"/>
        <v>1551.1100823670081</v>
      </c>
      <c r="I31" s="23">
        <f t="shared" si="15"/>
        <v>1597.6433848380184</v>
      </c>
      <c r="J31" s="23">
        <f t="shared" si="15"/>
        <v>1645.572686383159</v>
      </c>
      <c r="K31" s="23">
        <f t="shared" si="15"/>
        <v>1694.9398669746538</v>
      </c>
      <c r="L31" s="23">
        <f t="shared" si="15"/>
        <v>1745.7880629838935</v>
      </c>
      <c r="M31" s="23">
        <f t="shared" si="15"/>
        <v>1798.1617048734104</v>
      </c>
      <c r="N31" s="38"/>
      <c r="O31" s="38"/>
      <c r="P31" s="254">
        <v>450000</v>
      </c>
      <c r="Q31" s="255">
        <f t="shared" si="16"/>
        <v>35.295284034443512</v>
      </c>
      <c r="R31" s="256">
        <f t="shared" si="1"/>
        <v>2.4000000000000042E-2</v>
      </c>
      <c r="S31" s="255">
        <f t="shared" si="17"/>
        <v>45.177963564087577</v>
      </c>
      <c r="T31" s="257">
        <f t="shared" si="2"/>
        <v>2.9999999999999975E-2</v>
      </c>
      <c r="U31" s="258">
        <f t="shared" si="18"/>
        <v>80.473247598531088</v>
      </c>
      <c r="V31" s="259">
        <f t="shared" si="3"/>
        <v>5.4720000000000019E-2</v>
      </c>
      <c r="W31" s="255">
        <f t="shared" si="19"/>
        <v>46.533302471010302</v>
      </c>
      <c r="X31" s="256">
        <f t="shared" si="4"/>
        <v>3.0000000000000037E-2</v>
      </c>
      <c r="Y31" s="260">
        <f t="shared" si="20"/>
        <v>127.00655006954139</v>
      </c>
      <c r="Z31" s="259">
        <f t="shared" si="5"/>
        <v>8.6361600000000052E-2</v>
      </c>
      <c r="AA31" s="258">
        <f t="shared" si="21"/>
        <v>47.929301545140561</v>
      </c>
      <c r="AB31" s="256">
        <f t="shared" si="6"/>
        <v>3.0000000000000006E-2</v>
      </c>
      <c r="AC31" s="260">
        <f t="shared" si="22"/>
        <v>174.93585161468195</v>
      </c>
      <c r="AD31" s="261">
        <f t="shared" si="7"/>
        <v>0.11895244800000007</v>
      </c>
      <c r="AE31" s="262">
        <v>450000</v>
      </c>
      <c r="AF31" s="38"/>
      <c r="AG31" s="38"/>
      <c r="AH31" s="263">
        <v>450000</v>
      </c>
      <c r="AI31" s="255">
        <f t="shared" si="23"/>
        <v>49.367180591494844</v>
      </c>
      <c r="AJ31" s="257">
        <f t="shared" si="8"/>
        <v>3.0000000000000044E-2</v>
      </c>
      <c r="AK31" s="260">
        <f t="shared" si="24"/>
        <v>224.30303220617679</v>
      </c>
      <c r="AL31" s="259">
        <f t="shared" si="9"/>
        <v>0.15252102144000013</v>
      </c>
      <c r="AM31" s="258">
        <f t="shared" si="25"/>
        <v>50.8481960092397</v>
      </c>
      <c r="AN31" s="257">
        <f t="shared" si="10"/>
        <v>3.0000000000000051E-2</v>
      </c>
      <c r="AO31" s="260">
        <f t="shared" si="26"/>
        <v>275.1512282154165</v>
      </c>
      <c r="AP31" s="261">
        <f t="shared" si="11"/>
        <v>0.18709665208320017</v>
      </c>
      <c r="AQ31" s="255">
        <f t="shared" si="27"/>
        <v>52.373641889516875</v>
      </c>
      <c r="AR31" s="257">
        <f t="shared" si="12"/>
        <v>3.0000000000000041E-2</v>
      </c>
      <c r="AS31" s="260">
        <f t="shared" si="28"/>
        <v>327.52487010493337</v>
      </c>
      <c r="AT31" s="261">
        <f t="shared" si="13"/>
        <v>0.22270955164569622</v>
      </c>
      <c r="AU31" s="340"/>
    </row>
    <row r="32" spans="1:48" ht="12.75" x14ac:dyDescent="0.2">
      <c r="A32" s="26"/>
      <c r="B32" s="38"/>
      <c r="C32" s="252" t="s">
        <v>384</v>
      </c>
      <c r="D32" s="177">
        <v>1187</v>
      </c>
      <c r="E32" s="253">
        <v>550000</v>
      </c>
      <c r="F32" s="23">
        <v>1691.9825414352754</v>
      </c>
      <c r="G32" s="23">
        <f t="shared" si="14"/>
        <v>1732.590122429722</v>
      </c>
      <c r="H32" s="23">
        <f t="shared" si="15"/>
        <v>1784.5678261026137</v>
      </c>
      <c r="I32" s="23">
        <f t="shared" si="15"/>
        <v>1838.1048608856922</v>
      </c>
      <c r="J32" s="23">
        <f t="shared" si="15"/>
        <v>1893.2480067122631</v>
      </c>
      <c r="K32" s="23">
        <f t="shared" si="15"/>
        <v>1950.0454469136309</v>
      </c>
      <c r="L32" s="23">
        <f t="shared" si="15"/>
        <v>2008.5468103210399</v>
      </c>
      <c r="M32" s="23">
        <f t="shared" si="15"/>
        <v>2068.8032146306709</v>
      </c>
      <c r="N32" s="38"/>
      <c r="O32" s="38"/>
      <c r="P32" s="254">
        <v>550000</v>
      </c>
      <c r="Q32" s="255">
        <f t="shared" si="16"/>
        <v>40.607580994446607</v>
      </c>
      <c r="R32" s="256">
        <f t="shared" si="1"/>
        <v>2.4E-2</v>
      </c>
      <c r="S32" s="255">
        <f t="shared" si="17"/>
        <v>51.977703672891721</v>
      </c>
      <c r="T32" s="257">
        <f t="shared" si="2"/>
        <v>3.0000000000000037E-2</v>
      </c>
      <c r="U32" s="258">
        <f t="shared" si="18"/>
        <v>92.585284667338328</v>
      </c>
      <c r="V32" s="259">
        <f t="shared" si="3"/>
        <v>5.4720000000000033E-2</v>
      </c>
      <c r="W32" s="255">
        <f t="shared" si="19"/>
        <v>53.537034783078525</v>
      </c>
      <c r="X32" s="256">
        <f t="shared" si="4"/>
        <v>3.0000000000000065E-2</v>
      </c>
      <c r="Y32" s="260">
        <f t="shared" si="20"/>
        <v>146.12231945041685</v>
      </c>
      <c r="Z32" s="259">
        <f t="shared" si="5"/>
        <v>8.6361600000000108E-2</v>
      </c>
      <c r="AA32" s="258">
        <f t="shared" si="21"/>
        <v>55.143145826570844</v>
      </c>
      <c r="AB32" s="256">
        <f t="shared" si="6"/>
        <v>3.0000000000000041E-2</v>
      </c>
      <c r="AC32" s="260">
        <f t="shared" si="22"/>
        <v>201.2654652769877</v>
      </c>
      <c r="AD32" s="261">
        <f t="shared" si="7"/>
        <v>0.11895244800000015</v>
      </c>
      <c r="AE32" s="262">
        <v>550000</v>
      </c>
      <c r="AF32" s="38"/>
      <c r="AG32" s="38"/>
      <c r="AH32" s="263">
        <v>550000</v>
      </c>
      <c r="AI32" s="255">
        <f t="shared" si="23"/>
        <v>56.797440201367863</v>
      </c>
      <c r="AJ32" s="257">
        <f t="shared" si="8"/>
        <v>2.9999999999999985E-2</v>
      </c>
      <c r="AK32" s="260">
        <f t="shared" si="24"/>
        <v>258.06290547835556</v>
      </c>
      <c r="AL32" s="259">
        <f t="shared" si="9"/>
        <v>0.15252102144000013</v>
      </c>
      <c r="AM32" s="258">
        <f t="shared" si="25"/>
        <v>58.501363407408917</v>
      </c>
      <c r="AN32" s="257">
        <f t="shared" si="10"/>
        <v>2.9999999999999995E-2</v>
      </c>
      <c r="AO32" s="260">
        <f t="shared" si="26"/>
        <v>316.56426888576448</v>
      </c>
      <c r="AP32" s="261">
        <f t="shared" si="11"/>
        <v>0.18709665208320014</v>
      </c>
      <c r="AQ32" s="255">
        <f t="shared" si="27"/>
        <v>60.25640430963108</v>
      </c>
      <c r="AR32" s="257">
        <f t="shared" si="12"/>
        <v>2.9999999999999943E-2</v>
      </c>
      <c r="AS32" s="260">
        <f t="shared" si="28"/>
        <v>376.82067319539556</v>
      </c>
      <c r="AT32" s="261">
        <f t="shared" si="13"/>
        <v>0.22270955164569609</v>
      </c>
      <c r="AU32" s="340"/>
    </row>
    <row r="33" spans="1:47" ht="12.75" x14ac:dyDescent="0.2">
      <c r="A33" s="26"/>
      <c r="B33" s="38"/>
      <c r="C33" s="252" t="s">
        <v>385</v>
      </c>
      <c r="D33" s="177">
        <v>623</v>
      </c>
      <c r="E33" s="253">
        <v>650000</v>
      </c>
      <c r="F33" s="23">
        <v>1907.842047782648</v>
      </c>
      <c r="G33" s="23">
        <f t="shared" si="14"/>
        <v>1953.6302569294317</v>
      </c>
      <c r="H33" s="23">
        <f t="shared" si="15"/>
        <v>2012.2391646373146</v>
      </c>
      <c r="I33" s="23">
        <f t="shared" si="15"/>
        <v>2072.606339576434</v>
      </c>
      <c r="J33" s="23">
        <f t="shared" si="15"/>
        <v>2134.7845297637273</v>
      </c>
      <c r="K33" s="23">
        <f t="shared" si="15"/>
        <v>2198.828065656639</v>
      </c>
      <c r="L33" s="23">
        <f t="shared" si="15"/>
        <v>2264.7929076263381</v>
      </c>
      <c r="M33" s="23">
        <f t="shared" si="15"/>
        <v>2332.7366948551285</v>
      </c>
      <c r="N33" s="38"/>
      <c r="O33" s="38"/>
      <c r="P33" s="254">
        <v>650000</v>
      </c>
      <c r="Q33" s="255">
        <f t="shared" si="16"/>
        <v>45.788209146783629</v>
      </c>
      <c r="R33" s="256">
        <f t="shared" si="1"/>
        <v>2.4000000000000039E-2</v>
      </c>
      <c r="S33" s="255">
        <f t="shared" si="17"/>
        <v>58.608907707882963</v>
      </c>
      <c r="T33" s="257">
        <f t="shared" si="2"/>
        <v>3.0000000000000006E-2</v>
      </c>
      <c r="U33" s="258">
        <f t="shared" si="18"/>
        <v>104.39711685466659</v>
      </c>
      <c r="V33" s="259">
        <f t="shared" si="3"/>
        <v>5.4720000000000046E-2</v>
      </c>
      <c r="W33" s="255">
        <f t="shared" si="19"/>
        <v>60.367174939119423</v>
      </c>
      <c r="X33" s="256">
        <f t="shared" si="4"/>
        <v>2.9999999999999992E-2</v>
      </c>
      <c r="Y33" s="260">
        <f t="shared" si="20"/>
        <v>164.76429179378601</v>
      </c>
      <c r="Z33" s="259">
        <f t="shared" si="5"/>
        <v>8.6361600000000038E-2</v>
      </c>
      <c r="AA33" s="258">
        <f t="shared" si="21"/>
        <v>62.178190187293239</v>
      </c>
      <c r="AB33" s="256">
        <f t="shared" si="6"/>
        <v>3.0000000000000106E-2</v>
      </c>
      <c r="AC33" s="260">
        <f t="shared" si="22"/>
        <v>226.94248198107925</v>
      </c>
      <c r="AD33" s="261">
        <f t="shared" si="7"/>
        <v>0.11895244800000015</v>
      </c>
      <c r="AE33" s="262">
        <v>650000</v>
      </c>
      <c r="AF33" s="38"/>
      <c r="AG33" s="38"/>
      <c r="AH33" s="263">
        <v>650000</v>
      </c>
      <c r="AI33" s="255">
        <f t="shared" si="23"/>
        <v>64.043535892911677</v>
      </c>
      <c r="AJ33" s="257">
        <f t="shared" si="8"/>
        <v>2.9999999999999933E-2</v>
      </c>
      <c r="AK33" s="260">
        <f t="shared" si="24"/>
        <v>290.98601787399093</v>
      </c>
      <c r="AL33" s="259">
        <f t="shared" si="9"/>
        <v>0.1525210214400001</v>
      </c>
      <c r="AM33" s="258">
        <f t="shared" si="25"/>
        <v>65.964841969699137</v>
      </c>
      <c r="AN33" s="257">
        <f t="shared" si="10"/>
        <v>2.9999999999999985E-2</v>
      </c>
      <c r="AO33" s="260">
        <f t="shared" si="26"/>
        <v>356.95085984369007</v>
      </c>
      <c r="AP33" s="261">
        <f t="shared" si="11"/>
        <v>0.18709665208320006</v>
      </c>
      <c r="AQ33" s="255">
        <f t="shared" si="27"/>
        <v>67.94378722879037</v>
      </c>
      <c r="AR33" s="257">
        <f t="shared" si="12"/>
        <v>3.00000000000001E-2</v>
      </c>
      <c r="AS33" s="260">
        <f t="shared" si="28"/>
        <v>424.89464707248044</v>
      </c>
      <c r="AT33" s="261">
        <f t="shared" si="13"/>
        <v>0.2227095516456962</v>
      </c>
      <c r="AU33" s="340"/>
    </row>
    <row r="34" spans="1:47" ht="12.75" x14ac:dyDescent="0.2">
      <c r="A34" s="26"/>
      <c r="B34" s="38"/>
      <c r="C34" s="252" t="s">
        <v>386</v>
      </c>
      <c r="D34" s="177">
        <v>432</v>
      </c>
      <c r="E34" s="253">
        <v>750000</v>
      </c>
      <c r="F34" s="23">
        <v>2131.1754361341118</v>
      </c>
      <c r="G34" s="23">
        <f t="shared" si="14"/>
        <v>2182.3236466013304</v>
      </c>
      <c r="H34" s="23">
        <f t="shared" si="15"/>
        <v>2247.7933559993703</v>
      </c>
      <c r="I34" s="23">
        <f t="shared" si="15"/>
        <v>2315.2271566793515</v>
      </c>
      <c r="J34" s="23">
        <f t="shared" si="15"/>
        <v>2384.6839713797322</v>
      </c>
      <c r="K34" s="23">
        <f t="shared" si="15"/>
        <v>2456.2244905211242</v>
      </c>
      <c r="L34" s="23">
        <f t="shared" si="15"/>
        <v>2529.9112252367581</v>
      </c>
      <c r="M34" s="23">
        <f t="shared" si="15"/>
        <v>2605.8085619938611</v>
      </c>
      <c r="N34" s="38"/>
      <c r="O34" s="38"/>
      <c r="P34" s="254">
        <v>750000</v>
      </c>
      <c r="Q34" s="255">
        <f t="shared" si="16"/>
        <v>51.148210467218632</v>
      </c>
      <c r="R34" s="256">
        <f t="shared" si="1"/>
        <v>2.3999999999999976E-2</v>
      </c>
      <c r="S34" s="255">
        <f t="shared" si="17"/>
        <v>65.469709398039868</v>
      </c>
      <c r="T34" s="257">
        <f t="shared" si="2"/>
        <v>2.9999999999999978E-2</v>
      </c>
      <c r="U34" s="258">
        <f t="shared" si="18"/>
        <v>116.6179198652585</v>
      </c>
      <c r="V34" s="259">
        <f t="shared" si="3"/>
        <v>5.4719999999999956E-2</v>
      </c>
      <c r="W34" s="255">
        <f t="shared" si="19"/>
        <v>67.433800679981232</v>
      </c>
      <c r="X34" s="256">
        <f t="shared" si="4"/>
        <v>3.0000000000000054E-2</v>
      </c>
      <c r="Y34" s="260">
        <f t="shared" si="20"/>
        <v>184.05172054523973</v>
      </c>
      <c r="Z34" s="259">
        <f t="shared" si="5"/>
        <v>8.6361600000000011E-2</v>
      </c>
      <c r="AA34" s="258">
        <f t="shared" si="21"/>
        <v>69.456814700380619</v>
      </c>
      <c r="AB34" s="256">
        <f t="shared" si="6"/>
        <v>3.000000000000003E-2</v>
      </c>
      <c r="AC34" s="260">
        <f t="shared" si="22"/>
        <v>253.50853524562035</v>
      </c>
      <c r="AD34" s="261">
        <f t="shared" si="7"/>
        <v>0.11895244800000004</v>
      </c>
      <c r="AE34" s="262">
        <v>750000</v>
      </c>
      <c r="AF34" s="38"/>
      <c r="AG34" s="38"/>
      <c r="AH34" s="263">
        <v>750000</v>
      </c>
      <c r="AI34" s="255">
        <f t="shared" si="23"/>
        <v>71.540519141391997</v>
      </c>
      <c r="AJ34" s="257">
        <f t="shared" si="8"/>
        <v>3.0000000000000013E-2</v>
      </c>
      <c r="AK34" s="260">
        <f t="shared" si="24"/>
        <v>325.04905438701235</v>
      </c>
      <c r="AL34" s="259">
        <f t="shared" si="9"/>
        <v>0.15252102144000007</v>
      </c>
      <c r="AM34" s="258">
        <f t="shared" si="25"/>
        <v>73.686734715633975</v>
      </c>
      <c r="AN34" s="257">
        <f t="shared" si="10"/>
        <v>3.0000000000000103E-2</v>
      </c>
      <c r="AO34" s="260">
        <f t="shared" si="26"/>
        <v>398.73578910264632</v>
      </c>
      <c r="AP34" s="261">
        <f t="shared" si="11"/>
        <v>0.18709665208320017</v>
      </c>
      <c r="AQ34" s="255">
        <f t="shared" si="27"/>
        <v>75.897336757102948</v>
      </c>
      <c r="AR34" s="257">
        <f t="shared" si="12"/>
        <v>3.0000000000000082E-2</v>
      </c>
      <c r="AS34" s="260">
        <f t="shared" si="28"/>
        <v>474.63312585974927</v>
      </c>
      <c r="AT34" s="261">
        <f t="shared" si="13"/>
        <v>0.22270955164569628</v>
      </c>
      <c r="AU34" s="340"/>
    </row>
    <row r="35" spans="1:47" ht="12.75" x14ac:dyDescent="0.2">
      <c r="A35" s="26"/>
      <c r="B35" s="38"/>
      <c r="C35" s="252" t="s">
        <v>387</v>
      </c>
      <c r="D35" s="177">
        <v>430</v>
      </c>
      <c r="E35" s="253">
        <v>850000</v>
      </c>
      <c r="F35" s="23">
        <v>2350.6656835540934</v>
      </c>
      <c r="G35" s="23">
        <f t="shared" si="14"/>
        <v>2407.0816599593918</v>
      </c>
      <c r="H35" s="23">
        <f t="shared" si="15"/>
        <v>2479.2941097581738</v>
      </c>
      <c r="I35" s="23">
        <f t="shared" si="15"/>
        <v>2553.6729330509193</v>
      </c>
      <c r="J35" s="23">
        <f t="shared" si="15"/>
        <v>2630.283121042447</v>
      </c>
      <c r="K35" s="23">
        <f t="shared" si="15"/>
        <v>2709.1916146737203</v>
      </c>
      <c r="L35" s="23">
        <f t="shared" si="15"/>
        <v>2790.4673631139322</v>
      </c>
      <c r="M35" s="23">
        <f t="shared" si="15"/>
        <v>2874.1813840073501</v>
      </c>
      <c r="N35" s="38"/>
      <c r="O35" s="38"/>
      <c r="P35" s="254">
        <v>850000</v>
      </c>
      <c r="Q35" s="255">
        <f t="shared" si="16"/>
        <v>56.415976405298352</v>
      </c>
      <c r="R35" s="256">
        <f t="shared" si="1"/>
        <v>2.4000000000000046E-2</v>
      </c>
      <c r="S35" s="255">
        <f t="shared" si="17"/>
        <v>72.212449798782018</v>
      </c>
      <c r="T35" s="257">
        <f t="shared" si="2"/>
        <v>3.000000000000011E-2</v>
      </c>
      <c r="U35" s="258">
        <f t="shared" si="18"/>
        <v>128.62842620408037</v>
      </c>
      <c r="V35" s="259">
        <f t="shared" si="3"/>
        <v>5.4720000000000157E-2</v>
      </c>
      <c r="W35" s="255">
        <f t="shared" si="19"/>
        <v>74.378823292745437</v>
      </c>
      <c r="X35" s="256">
        <f t="shared" si="4"/>
        <v>3.0000000000000089E-2</v>
      </c>
      <c r="Y35" s="260">
        <f t="shared" si="20"/>
        <v>203.00724949682581</v>
      </c>
      <c r="Z35" s="259">
        <f t="shared" si="5"/>
        <v>8.636160000000026E-2</v>
      </c>
      <c r="AA35" s="258">
        <f t="shared" si="21"/>
        <v>76.61018799152771</v>
      </c>
      <c r="AB35" s="256">
        <f t="shared" si="6"/>
        <v>3.0000000000000051E-2</v>
      </c>
      <c r="AC35" s="260">
        <f t="shared" si="22"/>
        <v>279.61743748835352</v>
      </c>
      <c r="AD35" s="261">
        <f t="shared" si="7"/>
        <v>0.11895244800000032</v>
      </c>
      <c r="AE35" s="262">
        <v>850000</v>
      </c>
      <c r="AF35" s="38"/>
      <c r="AG35" s="38"/>
      <c r="AH35" s="263">
        <v>850000</v>
      </c>
      <c r="AI35" s="255">
        <f t="shared" si="23"/>
        <v>78.908493631273359</v>
      </c>
      <c r="AJ35" s="257">
        <f t="shared" si="8"/>
        <v>2.9999999999999982E-2</v>
      </c>
      <c r="AK35" s="260">
        <f t="shared" si="24"/>
        <v>358.52593111962688</v>
      </c>
      <c r="AL35" s="259">
        <f t="shared" si="9"/>
        <v>0.15252102144000032</v>
      </c>
      <c r="AM35" s="258">
        <f t="shared" si="25"/>
        <v>81.275748440211828</v>
      </c>
      <c r="AN35" s="257">
        <f t="shared" si="10"/>
        <v>3.0000000000000082E-2</v>
      </c>
      <c r="AO35" s="260">
        <f t="shared" si="26"/>
        <v>439.8016795598387</v>
      </c>
      <c r="AP35" s="261">
        <f t="shared" si="11"/>
        <v>0.18709665208320042</v>
      </c>
      <c r="AQ35" s="255">
        <f t="shared" si="27"/>
        <v>83.71402089341791</v>
      </c>
      <c r="AR35" s="257">
        <f t="shared" si="12"/>
        <v>2.9999999999999982E-2</v>
      </c>
      <c r="AS35" s="260">
        <f t="shared" si="28"/>
        <v>523.51570045325661</v>
      </c>
      <c r="AT35" s="261">
        <f t="shared" si="13"/>
        <v>0.22270955164569639</v>
      </c>
      <c r="AU35" s="340"/>
    </row>
    <row r="36" spans="1:47" ht="12.75" x14ac:dyDescent="0.2">
      <c r="A36" s="26"/>
      <c r="B36" s="38"/>
      <c r="C36" s="252" t="s">
        <v>388</v>
      </c>
      <c r="D36" s="177">
        <v>106</v>
      </c>
      <c r="E36" s="253">
        <v>950000</v>
      </c>
      <c r="F36" s="23">
        <v>2570.1554583456523</v>
      </c>
      <c r="G36" s="23">
        <f t="shared" si="14"/>
        <v>2631.8391893459479</v>
      </c>
      <c r="H36" s="23">
        <f t="shared" si="15"/>
        <v>2710.7943650263264</v>
      </c>
      <c r="I36" s="23">
        <f t="shared" si="15"/>
        <v>2792.1181959771161</v>
      </c>
      <c r="J36" s="23">
        <f t="shared" si="15"/>
        <v>2875.8817418564295</v>
      </c>
      <c r="K36" s="23">
        <f t="shared" si="15"/>
        <v>2962.1581941121226</v>
      </c>
      <c r="L36" s="23">
        <f t="shared" si="15"/>
        <v>3051.0229399354862</v>
      </c>
      <c r="M36" s="23">
        <f t="shared" si="15"/>
        <v>3142.5536281335508</v>
      </c>
      <c r="N36" s="38"/>
      <c r="O36" s="38"/>
      <c r="P36" s="254">
        <v>950000</v>
      </c>
      <c r="Q36" s="255">
        <f t="shared" si="16"/>
        <v>61.683731000295666</v>
      </c>
      <c r="R36" s="256">
        <f t="shared" si="1"/>
        <v>2.4000000000000004E-2</v>
      </c>
      <c r="S36" s="255">
        <f t="shared" si="17"/>
        <v>78.955175680378488</v>
      </c>
      <c r="T36" s="257">
        <f t="shared" si="2"/>
        <v>3.000000000000002E-2</v>
      </c>
      <c r="U36" s="258">
        <f t="shared" si="18"/>
        <v>140.63890668067415</v>
      </c>
      <c r="V36" s="259">
        <f t="shared" si="3"/>
        <v>5.4720000000000026E-2</v>
      </c>
      <c r="W36" s="255">
        <f t="shared" si="19"/>
        <v>81.32383095078967</v>
      </c>
      <c r="X36" s="256">
        <f t="shared" si="4"/>
        <v>2.9999999999999954E-2</v>
      </c>
      <c r="Y36" s="260">
        <f t="shared" si="20"/>
        <v>221.96273763146382</v>
      </c>
      <c r="Z36" s="259">
        <f t="shared" si="5"/>
        <v>8.6361599999999983E-2</v>
      </c>
      <c r="AA36" s="258">
        <f t="shared" si="21"/>
        <v>83.763545879313369</v>
      </c>
      <c r="AB36" s="256">
        <f t="shared" si="6"/>
        <v>2.9999999999999961E-2</v>
      </c>
      <c r="AC36" s="260">
        <f t="shared" si="22"/>
        <v>305.72628351077719</v>
      </c>
      <c r="AD36" s="261">
        <f t="shared" si="7"/>
        <v>0.11895244799999993</v>
      </c>
      <c r="AE36" s="262">
        <v>950000</v>
      </c>
      <c r="AF36" s="38"/>
      <c r="AG36" s="38"/>
      <c r="AH36" s="263">
        <v>950000</v>
      </c>
      <c r="AI36" s="255">
        <f t="shared" si="23"/>
        <v>86.27645225569313</v>
      </c>
      <c r="AJ36" s="257">
        <f t="shared" si="8"/>
        <v>3.0000000000000086E-2</v>
      </c>
      <c r="AK36" s="260">
        <f t="shared" si="24"/>
        <v>392.00273576647032</v>
      </c>
      <c r="AL36" s="259">
        <f t="shared" si="9"/>
        <v>0.15252102144000002</v>
      </c>
      <c r="AM36" s="258">
        <f t="shared" si="25"/>
        <v>88.864745823363592</v>
      </c>
      <c r="AN36" s="257">
        <f t="shared" si="10"/>
        <v>2.9999999999999971E-2</v>
      </c>
      <c r="AO36" s="260">
        <f t="shared" si="26"/>
        <v>480.86748158983391</v>
      </c>
      <c r="AP36" s="261">
        <f t="shared" si="11"/>
        <v>0.1870966520832</v>
      </c>
      <c r="AQ36" s="255">
        <f t="shared" si="27"/>
        <v>91.530688198064581</v>
      </c>
      <c r="AR36" s="257">
        <f t="shared" si="12"/>
        <v>0.03</v>
      </c>
      <c r="AS36" s="260">
        <f t="shared" si="28"/>
        <v>572.3981697878985</v>
      </c>
      <c r="AT36" s="261">
        <f t="shared" si="13"/>
        <v>0.222709551645696</v>
      </c>
      <c r="AU36" s="340"/>
    </row>
    <row r="37" spans="1:47" ht="12.75" x14ac:dyDescent="0.2">
      <c r="A37" s="26"/>
      <c r="B37" s="38"/>
      <c r="C37" s="252" t="s">
        <v>390</v>
      </c>
      <c r="D37" s="177">
        <v>140</v>
      </c>
      <c r="E37" s="253">
        <v>1250000</v>
      </c>
      <c r="F37" s="23">
        <v>3228.6250215438854</v>
      </c>
      <c r="G37" s="23">
        <f t="shared" si="14"/>
        <v>3306.1120220609387</v>
      </c>
      <c r="H37" s="23">
        <f t="shared" si="15"/>
        <v>3405.295382722767</v>
      </c>
      <c r="I37" s="23">
        <f t="shared" si="15"/>
        <v>3507.4542442044503</v>
      </c>
      <c r="J37" s="23">
        <f t="shared" si="15"/>
        <v>3612.6778715305841</v>
      </c>
      <c r="K37" s="23">
        <f t="shared" si="15"/>
        <v>3721.0582076765018</v>
      </c>
      <c r="L37" s="23">
        <f t="shared" si="15"/>
        <v>3832.6899539067967</v>
      </c>
      <c r="M37" s="23">
        <f t="shared" si="15"/>
        <v>3947.6706525240006</v>
      </c>
      <c r="N37" s="38"/>
      <c r="O37" s="38"/>
      <c r="P37" s="254">
        <v>1250000</v>
      </c>
      <c r="Q37" s="255">
        <f t="shared" si="16"/>
        <v>77.487000517053275</v>
      </c>
      <c r="R37" s="256">
        <f t="shared" si="1"/>
        <v>2.4000000000000007E-2</v>
      </c>
      <c r="S37" s="255">
        <f t="shared" si="17"/>
        <v>99.183360661828374</v>
      </c>
      <c r="T37" s="257">
        <f t="shared" si="2"/>
        <v>3.0000000000000065E-2</v>
      </c>
      <c r="U37" s="258">
        <f t="shared" si="18"/>
        <v>176.67036117888165</v>
      </c>
      <c r="V37" s="259">
        <f t="shared" si="3"/>
        <v>5.4720000000000074E-2</v>
      </c>
      <c r="W37" s="255">
        <f t="shared" si="19"/>
        <v>102.15886148168329</v>
      </c>
      <c r="X37" s="256">
        <f t="shared" si="4"/>
        <v>3.0000000000000082E-2</v>
      </c>
      <c r="Y37" s="260">
        <f t="shared" si="20"/>
        <v>278.82922266056494</v>
      </c>
      <c r="Z37" s="259">
        <f t="shared" si="5"/>
        <v>8.6361600000000163E-2</v>
      </c>
      <c r="AA37" s="258">
        <f t="shared" si="21"/>
        <v>105.22362732613374</v>
      </c>
      <c r="AB37" s="256">
        <f t="shared" si="6"/>
        <v>3.0000000000000065E-2</v>
      </c>
      <c r="AC37" s="260">
        <f t="shared" si="22"/>
        <v>384.05284998669867</v>
      </c>
      <c r="AD37" s="261">
        <f t="shared" si="7"/>
        <v>0.11895244800000024</v>
      </c>
      <c r="AE37" s="262">
        <v>1250000</v>
      </c>
      <c r="AF37" s="38"/>
      <c r="AG37" s="38"/>
      <c r="AH37" s="263">
        <v>1250000</v>
      </c>
      <c r="AI37" s="255">
        <f t="shared" si="23"/>
        <v>108.38033614591768</v>
      </c>
      <c r="AJ37" s="257">
        <f t="shared" si="8"/>
        <v>3.0000000000000044E-2</v>
      </c>
      <c r="AK37" s="260">
        <f t="shared" si="24"/>
        <v>492.43318613261636</v>
      </c>
      <c r="AL37" s="259">
        <f t="shared" si="9"/>
        <v>0.15252102144000029</v>
      </c>
      <c r="AM37" s="258">
        <f t="shared" si="25"/>
        <v>111.63174623029499</v>
      </c>
      <c r="AN37" s="257">
        <f t="shared" si="10"/>
        <v>2.9999999999999985E-2</v>
      </c>
      <c r="AO37" s="260">
        <f t="shared" si="26"/>
        <v>604.06493236291135</v>
      </c>
      <c r="AP37" s="261">
        <f t="shared" si="11"/>
        <v>0.18709665208320028</v>
      </c>
      <c r="AQ37" s="255">
        <f t="shared" si="27"/>
        <v>114.98069861720387</v>
      </c>
      <c r="AR37" s="257">
        <f t="shared" si="12"/>
        <v>2.9999999999999992E-2</v>
      </c>
      <c r="AS37" s="260">
        <f t="shared" si="28"/>
        <v>719.04563098011522</v>
      </c>
      <c r="AT37" s="261">
        <f t="shared" si="13"/>
        <v>0.22270955164569628</v>
      </c>
      <c r="AU37" s="340"/>
    </row>
    <row r="38" spans="1:47" ht="12.75" x14ac:dyDescent="0.2">
      <c r="A38" s="26"/>
      <c r="B38" s="38"/>
      <c r="C38" s="252" t="s">
        <v>391</v>
      </c>
      <c r="D38" s="177">
        <v>31</v>
      </c>
      <c r="E38" s="253">
        <v>1750000</v>
      </c>
      <c r="F38" s="23">
        <v>4326.0757666867112</v>
      </c>
      <c r="G38" s="23">
        <f t="shared" si="14"/>
        <v>4429.901585087192</v>
      </c>
      <c r="H38" s="23">
        <f t="shared" si="15"/>
        <v>4562.7986326398077</v>
      </c>
      <c r="I38" s="23">
        <f t="shared" si="15"/>
        <v>4699.6825916190019</v>
      </c>
      <c r="J38" s="23">
        <f t="shared" si="15"/>
        <v>4840.6730693675718</v>
      </c>
      <c r="K38" s="23">
        <f t="shared" si="15"/>
        <v>4985.8932614485993</v>
      </c>
      <c r="L38" s="23">
        <f t="shared" si="15"/>
        <v>5135.4700592920572</v>
      </c>
      <c r="M38" s="23">
        <f t="shared" si="15"/>
        <v>5289.5341610708192</v>
      </c>
      <c r="N38" s="38"/>
      <c r="O38" s="38"/>
      <c r="P38" s="254">
        <v>1750000</v>
      </c>
      <c r="Q38" s="255">
        <f t="shared" si="16"/>
        <v>103.82581840048078</v>
      </c>
      <c r="R38" s="256">
        <f t="shared" si="1"/>
        <v>2.3999999999999935E-2</v>
      </c>
      <c r="S38" s="255">
        <f t="shared" si="17"/>
        <v>132.89704755261573</v>
      </c>
      <c r="T38" s="257">
        <f t="shared" si="2"/>
        <v>2.9999999999999995E-2</v>
      </c>
      <c r="U38" s="258">
        <f t="shared" si="18"/>
        <v>236.72286595309652</v>
      </c>
      <c r="V38" s="259">
        <f t="shared" si="3"/>
        <v>5.4719999999999928E-2</v>
      </c>
      <c r="W38" s="255">
        <f t="shared" si="19"/>
        <v>136.88395897919418</v>
      </c>
      <c r="X38" s="256">
        <f t="shared" si="4"/>
        <v>2.9999999999999988E-2</v>
      </c>
      <c r="Y38" s="260">
        <f t="shared" si="20"/>
        <v>373.60682493229069</v>
      </c>
      <c r="Z38" s="259">
        <f t="shared" si="5"/>
        <v>8.6361599999999913E-2</v>
      </c>
      <c r="AA38" s="258">
        <f t="shared" si="21"/>
        <v>140.9904777485699</v>
      </c>
      <c r="AB38" s="256">
        <f t="shared" si="6"/>
        <v>2.9999999999999968E-2</v>
      </c>
      <c r="AC38" s="260">
        <f t="shared" si="22"/>
        <v>514.59730268086059</v>
      </c>
      <c r="AD38" s="261">
        <f t="shared" si="7"/>
        <v>0.11895244799999988</v>
      </c>
      <c r="AE38" s="262">
        <v>1750000</v>
      </c>
      <c r="AF38" s="38"/>
      <c r="AG38" s="38"/>
      <c r="AH38" s="263">
        <v>1750000</v>
      </c>
      <c r="AI38" s="255">
        <f t="shared" si="23"/>
        <v>145.22019208102756</v>
      </c>
      <c r="AJ38" s="257">
        <f t="shared" si="8"/>
        <v>3.0000000000000086E-2</v>
      </c>
      <c r="AK38" s="260">
        <f t="shared" si="24"/>
        <v>659.81749476188816</v>
      </c>
      <c r="AL38" s="259">
        <f t="shared" si="9"/>
        <v>0.15252102143999996</v>
      </c>
      <c r="AM38" s="258">
        <f t="shared" si="25"/>
        <v>149.57679784345783</v>
      </c>
      <c r="AN38" s="257">
        <f t="shared" si="10"/>
        <v>2.9999999999999968E-2</v>
      </c>
      <c r="AO38" s="260">
        <f t="shared" si="26"/>
        <v>809.39429260534598</v>
      </c>
      <c r="AP38" s="261">
        <f t="shared" si="11"/>
        <v>0.18709665208319992</v>
      </c>
      <c r="AQ38" s="255">
        <f t="shared" si="27"/>
        <v>154.06410177876205</v>
      </c>
      <c r="AR38" s="257">
        <f t="shared" si="12"/>
        <v>3.0000000000000065E-2</v>
      </c>
      <c r="AS38" s="260">
        <f t="shared" si="28"/>
        <v>963.45839438410803</v>
      </c>
      <c r="AT38" s="261">
        <f t="shared" si="13"/>
        <v>0.222709551645696</v>
      </c>
      <c r="AU38" s="340"/>
    </row>
    <row r="39" spans="1:47" ht="12.75" x14ac:dyDescent="0.2">
      <c r="A39" s="26"/>
      <c r="B39" s="38"/>
      <c r="C39" s="252" t="s">
        <v>392</v>
      </c>
      <c r="D39" s="177">
        <v>19</v>
      </c>
      <c r="E39" s="253">
        <v>2500000</v>
      </c>
      <c r="F39" s="23">
        <v>5972.2509904189255</v>
      </c>
      <c r="G39" s="23">
        <f t="shared" si="14"/>
        <v>6115.5850141889796</v>
      </c>
      <c r="H39" s="23">
        <f t="shared" si="15"/>
        <v>6299.0525646146489</v>
      </c>
      <c r="I39" s="23">
        <f t="shared" si="15"/>
        <v>6488.0241415530882</v>
      </c>
      <c r="J39" s="23">
        <f t="shared" si="15"/>
        <v>6682.6648657996811</v>
      </c>
      <c r="K39" s="23">
        <f t="shared" si="15"/>
        <v>6883.1448117736718</v>
      </c>
      <c r="L39" s="23">
        <f t="shared" si="15"/>
        <v>7089.639156126882</v>
      </c>
      <c r="M39" s="23">
        <f t="shared" si="15"/>
        <v>7302.3283308106884</v>
      </c>
      <c r="N39" s="38"/>
      <c r="O39" s="38"/>
      <c r="P39" s="254">
        <v>2500000</v>
      </c>
      <c r="Q39" s="255">
        <f t="shared" si="16"/>
        <v>143.33402377005405</v>
      </c>
      <c r="R39" s="256">
        <f t="shared" si="1"/>
        <v>2.3999999999999973E-2</v>
      </c>
      <c r="S39" s="255">
        <f t="shared" si="17"/>
        <v>183.46755042566929</v>
      </c>
      <c r="T39" s="257">
        <f t="shared" si="2"/>
        <v>2.9999999999999985E-2</v>
      </c>
      <c r="U39" s="258">
        <f t="shared" si="18"/>
        <v>326.80157419572333</v>
      </c>
      <c r="V39" s="259">
        <f t="shared" si="3"/>
        <v>5.4719999999999956E-2</v>
      </c>
      <c r="W39" s="255">
        <f t="shared" si="19"/>
        <v>188.97157693843928</v>
      </c>
      <c r="X39" s="256">
        <f t="shared" si="4"/>
        <v>2.9999999999999971E-2</v>
      </c>
      <c r="Y39" s="260">
        <f t="shared" si="20"/>
        <v>515.77315113416262</v>
      </c>
      <c r="Z39" s="259">
        <f t="shared" si="5"/>
        <v>8.6361599999999927E-2</v>
      </c>
      <c r="AA39" s="258">
        <f t="shared" si="21"/>
        <v>194.64072424659298</v>
      </c>
      <c r="AB39" s="256">
        <f t="shared" si="6"/>
        <v>3.0000000000000051E-2</v>
      </c>
      <c r="AC39" s="260">
        <f t="shared" si="22"/>
        <v>710.4138753807556</v>
      </c>
      <c r="AD39" s="261">
        <f t="shared" si="7"/>
        <v>0.11895244799999997</v>
      </c>
      <c r="AE39" s="262">
        <v>2500000</v>
      </c>
      <c r="AF39" s="38"/>
      <c r="AG39" s="38"/>
      <c r="AH39" s="263">
        <v>2500000</v>
      </c>
      <c r="AI39" s="255">
        <f t="shared" si="23"/>
        <v>200.47994597399065</v>
      </c>
      <c r="AJ39" s="257">
        <f t="shared" si="8"/>
        <v>3.0000000000000034E-2</v>
      </c>
      <c r="AK39" s="260">
        <f t="shared" si="24"/>
        <v>910.89382135474625</v>
      </c>
      <c r="AL39" s="259">
        <f t="shared" si="9"/>
        <v>0.15252102144000002</v>
      </c>
      <c r="AM39" s="258">
        <f t="shared" si="25"/>
        <v>206.49434435321018</v>
      </c>
      <c r="AN39" s="257">
        <f t="shared" si="10"/>
        <v>3.0000000000000002E-2</v>
      </c>
      <c r="AO39" s="260">
        <f t="shared" si="26"/>
        <v>1117.3881657079564</v>
      </c>
      <c r="AP39" s="261">
        <f t="shared" si="11"/>
        <v>0.1870966520832</v>
      </c>
      <c r="AQ39" s="255">
        <f t="shared" si="27"/>
        <v>212.68917468380641</v>
      </c>
      <c r="AR39" s="257">
        <f t="shared" si="12"/>
        <v>2.9999999999999992E-2</v>
      </c>
      <c r="AS39" s="260">
        <f t="shared" si="28"/>
        <v>1330.0773403917628</v>
      </c>
      <c r="AT39" s="261">
        <f t="shared" si="13"/>
        <v>0.222709551645696</v>
      </c>
      <c r="AU39" s="340"/>
    </row>
    <row r="40" spans="1:47" ht="13.5" thickBot="1" x14ac:dyDescent="0.25">
      <c r="A40" s="26"/>
      <c r="B40" s="38"/>
      <c r="C40" s="216" t="s">
        <v>15</v>
      </c>
      <c r="D40" s="195">
        <v>5</v>
      </c>
      <c r="E40" s="264">
        <v>3000000</v>
      </c>
      <c r="F40" s="125">
        <v>7069.7006772009026</v>
      </c>
      <c r="G40" s="23">
        <f t="shared" si="14"/>
        <v>7239.3734934537242</v>
      </c>
      <c r="H40" s="23">
        <f t="shared" si="15"/>
        <v>7456.554698257336</v>
      </c>
      <c r="I40" s="23">
        <f t="shared" si="15"/>
        <v>7680.251339205056</v>
      </c>
      <c r="J40" s="23">
        <f t="shared" si="15"/>
        <v>7910.658879381208</v>
      </c>
      <c r="K40" s="23">
        <f t="shared" si="15"/>
        <v>8147.9786457626442</v>
      </c>
      <c r="L40" s="23">
        <f t="shared" si="15"/>
        <v>8392.4180051355233</v>
      </c>
      <c r="M40" s="23">
        <f t="shared" si="15"/>
        <v>8644.1905452895899</v>
      </c>
      <c r="N40" s="38"/>
      <c r="O40" s="38"/>
      <c r="P40" s="265">
        <v>3000000</v>
      </c>
      <c r="Q40" s="266">
        <f t="shared" si="16"/>
        <v>169.67281625282158</v>
      </c>
      <c r="R40" s="267">
        <f t="shared" si="1"/>
        <v>2.3999999999999987E-2</v>
      </c>
      <c r="S40" s="266">
        <f t="shared" si="17"/>
        <v>217.18120480361176</v>
      </c>
      <c r="T40" s="268">
        <f t="shared" si="2"/>
        <v>3.0000000000000006E-2</v>
      </c>
      <c r="U40" s="269">
        <f t="shared" si="18"/>
        <v>386.85402105643334</v>
      </c>
      <c r="V40" s="270">
        <f t="shared" si="3"/>
        <v>5.4719999999999991E-2</v>
      </c>
      <c r="W40" s="266">
        <f t="shared" si="19"/>
        <v>223.69664094771997</v>
      </c>
      <c r="X40" s="267">
        <f t="shared" si="4"/>
        <v>2.9999999999999985E-2</v>
      </c>
      <c r="Y40" s="271">
        <f t="shared" si="20"/>
        <v>610.55066200415331</v>
      </c>
      <c r="Z40" s="270">
        <f t="shared" si="5"/>
        <v>8.6361599999999983E-2</v>
      </c>
      <c r="AA40" s="341">
        <f t="shared" si="21"/>
        <v>230.407540176152</v>
      </c>
      <c r="AB40" s="342">
        <f t="shared" si="6"/>
        <v>3.0000000000000041E-2</v>
      </c>
      <c r="AC40" s="343">
        <f t="shared" si="22"/>
        <v>840.95820218030531</v>
      </c>
      <c r="AD40" s="344">
        <f t="shared" si="7"/>
        <v>0.11895244800000002</v>
      </c>
      <c r="AE40" s="272">
        <v>3000000</v>
      </c>
      <c r="AF40" s="38"/>
      <c r="AG40" s="38"/>
      <c r="AH40" s="273">
        <v>3000000</v>
      </c>
      <c r="AI40" s="266">
        <f t="shared" si="23"/>
        <v>237.31976638143624</v>
      </c>
      <c r="AJ40" s="268">
        <f t="shared" si="8"/>
        <v>0.03</v>
      </c>
      <c r="AK40" s="271">
        <f t="shared" si="24"/>
        <v>1078.2779685617415</v>
      </c>
      <c r="AL40" s="270">
        <f t="shared" si="9"/>
        <v>0.15252102144000002</v>
      </c>
      <c r="AM40" s="269">
        <f t="shared" si="25"/>
        <v>244.43935937287915</v>
      </c>
      <c r="AN40" s="268">
        <f t="shared" si="10"/>
        <v>2.9999999999999978E-2</v>
      </c>
      <c r="AO40" s="271">
        <f t="shared" si="26"/>
        <v>1322.7173279346207</v>
      </c>
      <c r="AP40" s="274">
        <f t="shared" si="11"/>
        <v>0.1870966520832</v>
      </c>
      <c r="AQ40" s="266">
        <f t="shared" si="27"/>
        <v>251.77254015406652</v>
      </c>
      <c r="AR40" s="268">
        <f t="shared" si="12"/>
        <v>3.0000000000000096E-2</v>
      </c>
      <c r="AS40" s="271">
        <f t="shared" si="28"/>
        <v>1574.4898680886872</v>
      </c>
      <c r="AT40" s="274">
        <f t="shared" si="13"/>
        <v>0.22270955164569611</v>
      </c>
      <c r="AU40" s="340"/>
    </row>
    <row r="41" spans="1:47" ht="13.5" thickTop="1" x14ac:dyDescent="0.2">
      <c r="A41" s="26"/>
      <c r="B41" s="38"/>
      <c r="C41" s="338"/>
      <c r="D41" s="353"/>
      <c r="E41" s="276"/>
      <c r="F41" s="338"/>
      <c r="G41" s="338"/>
      <c r="H41" s="338"/>
      <c r="I41" s="338"/>
      <c r="J41" s="338"/>
      <c r="K41" s="338"/>
      <c r="L41" s="338"/>
      <c r="M41" s="338"/>
      <c r="N41" s="38"/>
      <c r="O41" s="38"/>
      <c r="P41" s="276"/>
      <c r="Q41" s="339"/>
      <c r="R41" s="340"/>
      <c r="S41" s="339"/>
      <c r="T41" s="340"/>
      <c r="U41" s="339"/>
      <c r="V41" s="340"/>
      <c r="W41" s="339"/>
      <c r="X41" s="340"/>
      <c r="Y41" s="339"/>
      <c r="Z41" s="340"/>
      <c r="AA41" s="345"/>
      <c r="AB41" s="346"/>
      <c r="AC41" s="345"/>
      <c r="AD41" s="346"/>
      <c r="AE41" s="276"/>
      <c r="AF41" s="38"/>
      <c r="AG41" s="38"/>
      <c r="AH41" s="276"/>
      <c r="AI41" s="339"/>
      <c r="AJ41" s="340"/>
      <c r="AK41" s="339"/>
      <c r="AL41" s="340"/>
      <c r="AM41" s="339"/>
      <c r="AN41" s="340"/>
      <c r="AO41" s="339"/>
      <c r="AP41" s="340"/>
      <c r="AQ41" s="339"/>
      <c r="AR41" s="340"/>
      <c r="AS41" s="339"/>
      <c r="AT41" s="340"/>
      <c r="AU41" s="340"/>
    </row>
    <row r="42" spans="1:47" ht="15.75" x14ac:dyDescent="0.25">
      <c r="A42" s="26"/>
      <c r="B42" s="38"/>
      <c r="C42" s="84" t="s">
        <v>1</v>
      </c>
      <c r="D42" s="123"/>
      <c r="E42" s="225"/>
      <c r="F42" s="82"/>
      <c r="G42" s="38"/>
      <c r="H42" s="38"/>
      <c r="I42" s="38"/>
      <c r="J42" s="38"/>
      <c r="K42" s="38"/>
      <c r="L42" s="38"/>
      <c r="M42" s="38"/>
      <c r="N42" s="38"/>
      <c r="O42" s="38"/>
      <c r="P42" s="84" t="s">
        <v>1</v>
      </c>
      <c r="Q42" s="38"/>
      <c r="R42" s="38"/>
      <c r="S42" s="38"/>
      <c r="T42" s="38"/>
      <c r="U42" s="38"/>
      <c r="V42" s="38"/>
      <c r="W42" s="38"/>
      <c r="X42" s="38"/>
      <c r="Y42" s="38"/>
      <c r="Z42" s="38"/>
      <c r="AA42" s="38"/>
      <c r="AB42" s="38"/>
      <c r="AC42" s="38"/>
      <c r="AD42" s="38"/>
      <c r="AE42" s="38"/>
      <c r="AF42" s="38"/>
      <c r="AG42" s="38"/>
      <c r="AH42" s="84" t="s">
        <v>1</v>
      </c>
      <c r="AI42" s="38"/>
      <c r="AJ42" s="38"/>
      <c r="AK42" s="38"/>
      <c r="AL42" s="38"/>
      <c r="AM42" s="38"/>
      <c r="AN42" s="38"/>
      <c r="AO42" s="38"/>
      <c r="AP42" s="38"/>
      <c r="AQ42" s="38"/>
      <c r="AR42" s="38"/>
      <c r="AS42" s="38"/>
      <c r="AT42" s="38"/>
      <c r="AU42" s="340"/>
    </row>
    <row r="43" spans="1:47" ht="16.5" thickBot="1" x14ac:dyDescent="0.3">
      <c r="A43" s="26"/>
      <c r="B43" s="38"/>
      <c r="C43" s="84"/>
      <c r="D43" s="38"/>
      <c r="E43" s="222"/>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40"/>
    </row>
    <row r="44" spans="1:47" ht="17.25" thickTop="1" thickBot="1" x14ac:dyDescent="0.3">
      <c r="A44" s="26"/>
      <c r="B44" s="38"/>
      <c r="C44" s="38"/>
      <c r="D44" s="38"/>
      <c r="E44" s="222"/>
      <c r="F44" s="226"/>
      <c r="G44" s="227"/>
      <c r="H44" s="814" t="s">
        <v>401</v>
      </c>
      <c r="I44" s="815"/>
      <c r="J44" s="815"/>
      <c r="K44" s="815"/>
      <c r="L44" s="815"/>
      <c r="M44" s="816"/>
      <c r="N44" s="38"/>
      <c r="O44" s="38"/>
      <c r="P44" s="38"/>
      <c r="Q44" s="820" t="s">
        <v>906</v>
      </c>
      <c r="R44" s="821"/>
      <c r="S44" s="821"/>
      <c r="T44" s="821"/>
      <c r="U44" s="821"/>
      <c r="V44" s="821"/>
      <c r="W44" s="821"/>
      <c r="X44" s="821"/>
      <c r="Y44" s="821"/>
      <c r="Z44" s="821"/>
      <c r="AA44" s="821"/>
      <c r="AB44" s="821"/>
      <c r="AC44" s="821"/>
      <c r="AD44" s="822"/>
      <c r="AE44" s="229"/>
      <c r="AF44" s="38"/>
      <c r="AG44" s="38"/>
      <c r="AH44" s="820" t="s">
        <v>906</v>
      </c>
      <c r="AI44" s="821"/>
      <c r="AJ44" s="821"/>
      <c r="AK44" s="821"/>
      <c r="AL44" s="821"/>
      <c r="AM44" s="821"/>
      <c r="AN44" s="821"/>
      <c r="AO44" s="821"/>
      <c r="AP44" s="821"/>
      <c r="AQ44" s="821"/>
      <c r="AR44" s="821"/>
      <c r="AS44" s="821"/>
      <c r="AT44" s="822"/>
      <c r="AU44" s="340"/>
    </row>
    <row r="45" spans="1:47" ht="57" customHeight="1" thickTop="1" x14ac:dyDescent="0.2">
      <c r="A45" s="26"/>
      <c r="B45" s="38"/>
      <c r="C45" s="230" t="s">
        <v>389</v>
      </c>
      <c r="D45" s="834" t="s">
        <v>888</v>
      </c>
      <c r="E45" s="231" t="s">
        <v>393</v>
      </c>
      <c r="F45" s="232" t="s">
        <v>410</v>
      </c>
      <c r="G45" s="233" t="s">
        <v>919</v>
      </c>
      <c r="H45" s="233" t="s">
        <v>920</v>
      </c>
      <c r="I45" s="233" t="s">
        <v>921</v>
      </c>
      <c r="J45" s="233" t="s">
        <v>922</v>
      </c>
      <c r="K45" s="233" t="s">
        <v>923</v>
      </c>
      <c r="L45" s="233" t="s">
        <v>924</v>
      </c>
      <c r="M45" s="234" t="s">
        <v>925</v>
      </c>
      <c r="N45" s="38"/>
      <c r="O45" s="38"/>
      <c r="P45" s="235" t="s">
        <v>393</v>
      </c>
      <c r="Q45" s="823" t="s">
        <v>394</v>
      </c>
      <c r="R45" s="824"/>
      <c r="S45" s="823" t="s">
        <v>395</v>
      </c>
      <c r="T45" s="824"/>
      <c r="U45" s="824"/>
      <c r="V45" s="825"/>
      <c r="W45" s="823" t="s">
        <v>396</v>
      </c>
      <c r="X45" s="824"/>
      <c r="Y45" s="824"/>
      <c r="Z45" s="825"/>
      <c r="AA45" s="828" t="s">
        <v>397</v>
      </c>
      <c r="AB45" s="829"/>
      <c r="AC45" s="829"/>
      <c r="AD45" s="830"/>
      <c r="AE45" s="237" t="s">
        <v>393</v>
      </c>
      <c r="AF45" s="38"/>
      <c r="AG45" s="38"/>
      <c r="AH45" s="238" t="s">
        <v>393</v>
      </c>
      <c r="AI45" s="831" t="s">
        <v>398</v>
      </c>
      <c r="AJ45" s="832"/>
      <c r="AK45" s="832"/>
      <c r="AL45" s="833"/>
      <c r="AM45" s="794" t="s">
        <v>399</v>
      </c>
      <c r="AN45" s="826"/>
      <c r="AO45" s="826"/>
      <c r="AP45" s="827"/>
      <c r="AQ45" s="793" t="s">
        <v>400</v>
      </c>
      <c r="AR45" s="826"/>
      <c r="AS45" s="826"/>
      <c r="AT45" s="827"/>
      <c r="AU45" s="340"/>
    </row>
    <row r="46" spans="1:47" ht="12.75" x14ac:dyDescent="0.2">
      <c r="A46" s="26"/>
      <c r="B46" s="38"/>
      <c r="C46" s="239"/>
      <c r="D46" s="835"/>
      <c r="E46" s="240"/>
      <c r="F46" s="160" t="str">
        <f>F26</f>
        <v>2014/15</v>
      </c>
      <c r="G46" s="160" t="str">
        <f t="shared" ref="G46:M46" si="29">G26</f>
        <v>2015/16</v>
      </c>
      <c r="H46" s="160" t="str">
        <f t="shared" si="29"/>
        <v>2016/17</v>
      </c>
      <c r="I46" s="160" t="str">
        <f t="shared" si="29"/>
        <v>2017/18</v>
      </c>
      <c r="J46" s="160" t="str">
        <f t="shared" si="29"/>
        <v>2018/19</v>
      </c>
      <c r="K46" s="160" t="str">
        <f t="shared" si="29"/>
        <v>2019/20</v>
      </c>
      <c r="L46" s="160" t="str">
        <f t="shared" si="29"/>
        <v>2020/21</v>
      </c>
      <c r="M46" s="182" t="str">
        <f t="shared" si="29"/>
        <v>2021/22</v>
      </c>
      <c r="N46" s="38"/>
      <c r="O46" s="38"/>
      <c r="P46" s="241" t="s">
        <v>129</v>
      </c>
      <c r="Q46" s="242" t="s">
        <v>102</v>
      </c>
      <c r="R46" s="243" t="s">
        <v>125</v>
      </c>
      <c r="S46" s="242" t="s">
        <v>102</v>
      </c>
      <c r="T46" s="244" t="s">
        <v>125</v>
      </c>
      <c r="U46" s="245" t="s">
        <v>103</v>
      </c>
      <c r="V46" s="246" t="s">
        <v>125</v>
      </c>
      <c r="W46" s="242" t="s">
        <v>102</v>
      </c>
      <c r="X46" s="247" t="s">
        <v>125</v>
      </c>
      <c r="Y46" s="244" t="s">
        <v>103</v>
      </c>
      <c r="Z46" s="246" t="s">
        <v>125</v>
      </c>
      <c r="AA46" s="245" t="s">
        <v>102</v>
      </c>
      <c r="AB46" s="247" t="s">
        <v>125</v>
      </c>
      <c r="AC46" s="244" t="s">
        <v>103</v>
      </c>
      <c r="AD46" s="248" t="s">
        <v>125</v>
      </c>
      <c r="AE46" s="249"/>
      <c r="AF46" s="38"/>
      <c r="AG46" s="38"/>
      <c r="AH46" s="250" t="s">
        <v>129</v>
      </c>
      <c r="AI46" s="242" t="s">
        <v>102</v>
      </c>
      <c r="AJ46" s="247" t="s">
        <v>125</v>
      </c>
      <c r="AK46" s="244" t="s">
        <v>103</v>
      </c>
      <c r="AL46" s="246" t="s">
        <v>125</v>
      </c>
      <c r="AM46" s="245" t="s">
        <v>102</v>
      </c>
      <c r="AN46" s="247" t="s">
        <v>125</v>
      </c>
      <c r="AO46" s="244" t="s">
        <v>103</v>
      </c>
      <c r="AP46" s="248" t="s">
        <v>125</v>
      </c>
      <c r="AQ46" s="251" t="s">
        <v>102</v>
      </c>
      <c r="AR46" s="247" t="s">
        <v>125</v>
      </c>
      <c r="AS46" s="244" t="s">
        <v>103</v>
      </c>
      <c r="AT46" s="248" t="s">
        <v>125</v>
      </c>
      <c r="AU46" s="340"/>
    </row>
    <row r="47" spans="1:47" ht="12.75" x14ac:dyDescent="0.2">
      <c r="A47" s="26"/>
      <c r="B47" s="38"/>
      <c r="C47" s="252" t="s">
        <v>14</v>
      </c>
      <c r="D47" s="354">
        <f>IF(D27="","",D27)</f>
        <v>6596</v>
      </c>
      <c r="E47" s="253">
        <v>50000</v>
      </c>
      <c r="F47" s="23">
        <f>+F27</f>
        <v>530.06573777880203</v>
      </c>
      <c r="G47" s="23">
        <f>+F47*1.024</f>
        <v>542.78731548549331</v>
      </c>
      <c r="H47" s="23">
        <f t="shared" ref="H47:M47" si="30">+G47*1.03</f>
        <v>559.07093495005813</v>
      </c>
      <c r="I47" s="23">
        <f t="shared" si="30"/>
        <v>575.84306299855984</v>
      </c>
      <c r="J47" s="23">
        <f t="shared" si="30"/>
        <v>593.11835488851671</v>
      </c>
      <c r="K47" s="23">
        <f t="shared" si="30"/>
        <v>610.9119055351722</v>
      </c>
      <c r="L47" s="23">
        <f t="shared" si="30"/>
        <v>629.2392627012274</v>
      </c>
      <c r="M47" s="23">
        <f t="shared" si="30"/>
        <v>648.1164405822642</v>
      </c>
      <c r="N47" s="38"/>
      <c r="O47" s="38"/>
      <c r="P47" s="254">
        <v>50000</v>
      </c>
      <c r="Q47" s="255">
        <f>IF(G47="","",IF(F47=0,"",G47-F47))</f>
        <v>12.721577706691278</v>
      </c>
      <c r="R47" s="256">
        <f t="shared" ref="R47:R60" si="31">IF(Q47="","",Q47/F47)</f>
        <v>2.4000000000000056E-2</v>
      </c>
      <c r="S47" s="255">
        <f>IF(H47="","",IF(G47=0,"",H47-G47))</f>
        <v>16.283619464564822</v>
      </c>
      <c r="T47" s="257">
        <f t="shared" ref="T47:T60" si="32">IF(S47="","",S47/G47)</f>
        <v>3.0000000000000041E-2</v>
      </c>
      <c r="U47" s="258">
        <f>IF(S47="","",S47+Q47)</f>
        <v>29.0051971712561</v>
      </c>
      <c r="V47" s="259">
        <f t="shared" ref="V47:V60" si="33">IF(T47="","",U47/F47)</f>
        <v>5.4720000000000102E-2</v>
      </c>
      <c r="W47" s="255">
        <f>IF(I47="","",IF(H47=0,"",I47-H47))</f>
        <v>16.772128048501713</v>
      </c>
      <c r="X47" s="256">
        <f t="shared" ref="X47:X60" si="34">IF(W47="","",W47/H47)</f>
        <v>2.9999999999999943E-2</v>
      </c>
      <c r="Y47" s="260">
        <f>IF(W47="","",W47+U47)</f>
        <v>45.777325219757813</v>
      </c>
      <c r="Z47" s="259">
        <f t="shared" ref="Z47:Z60" si="35">IF(X47="","",Y47/F47)</f>
        <v>8.6361600000000038E-2</v>
      </c>
      <c r="AA47" s="258">
        <f>IF(J47="","",IF(I47=0,"",J47-I47))</f>
        <v>17.275291889956861</v>
      </c>
      <c r="AB47" s="256">
        <f t="shared" ref="AB47:AB60" si="36">IF(AA47="","",AA47/I47)</f>
        <v>3.0000000000000113E-2</v>
      </c>
      <c r="AC47" s="260">
        <f>IF(AA47="","",AA47+Y47)</f>
        <v>63.052617109714674</v>
      </c>
      <c r="AD47" s="261">
        <f t="shared" ref="AD47:AD60" si="37">IF(AB47="","",AC47/F47)</f>
        <v>0.11895244800000017</v>
      </c>
      <c r="AE47" s="262">
        <v>50000</v>
      </c>
      <c r="AF47" s="38"/>
      <c r="AG47" s="38"/>
      <c r="AH47" s="263">
        <v>50000</v>
      </c>
      <c r="AI47" s="255">
        <f>IF(K47="","",IF(J47=0,"",K47-J47))</f>
        <v>17.79355064665549</v>
      </c>
      <c r="AJ47" s="257">
        <f t="shared" ref="AJ47:AJ60" si="38">IF(AI47="","",AI47/J47)</f>
        <v>2.9999999999999982E-2</v>
      </c>
      <c r="AK47" s="260">
        <f>IF(AI47="","",AI47+AC47)</f>
        <v>80.846167756370164</v>
      </c>
      <c r="AL47" s="259">
        <f t="shared" ref="AL47:AL60" si="39">IF(AK47="","",AK47/F47)</f>
        <v>0.15252102144000015</v>
      </c>
      <c r="AM47" s="258">
        <f>IF(L47="","",IF(K47=0,"",L47-K47))</f>
        <v>18.327357166055208</v>
      </c>
      <c r="AN47" s="257">
        <f t="shared" ref="AN47:AN60" si="40">IF(AM47="","",AM47/K47)</f>
        <v>3.0000000000000068E-2</v>
      </c>
      <c r="AO47" s="260">
        <f>IF(AM47="","",AM47+AK47)</f>
        <v>99.173524922425372</v>
      </c>
      <c r="AP47" s="261">
        <f t="shared" ref="AP47:AP60" si="41">IF(AO47="","",AO47/F47)</f>
        <v>0.18709665208320023</v>
      </c>
      <c r="AQ47" s="255">
        <f>IF(M47="","",IF(L47=0,"",M47-L47))</f>
        <v>18.8771778810368</v>
      </c>
      <c r="AR47" s="257">
        <f t="shared" ref="AR47:AR60" si="42">IF(AQ47="","",AQ47/L47)</f>
        <v>2.9999999999999964E-2</v>
      </c>
      <c r="AS47" s="260">
        <f>IF(AQ47="","",AQ47+AO47)</f>
        <v>118.05070280346217</v>
      </c>
      <c r="AT47" s="261">
        <f t="shared" ref="AT47:AT60" si="43">IF(AS47="","",AS47/F47)</f>
        <v>0.2227095516456962</v>
      </c>
      <c r="AU47" s="340"/>
    </row>
    <row r="48" spans="1:47" ht="12.75" x14ac:dyDescent="0.2">
      <c r="A48" s="26"/>
      <c r="B48" s="38"/>
      <c r="C48" s="252" t="s">
        <v>380</v>
      </c>
      <c r="D48" s="354">
        <f t="shared" ref="D48:D60" si="44">IF(D28="","",D28)</f>
        <v>25436</v>
      </c>
      <c r="E48" s="253">
        <v>150000</v>
      </c>
      <c r="F48" s="23">
        <f t="shared" ref="F48:F60" si="45">+F28</f>
        <v>813.36810436096982</v>
      </c>
      <c r="G48" s="23">
        <f t="shared" ref="G48:G60" si="46">+F48*1.024</f>
        <v>832.88893886563312</v>
      </c>
      <c r="H48" s="23">
        <f t="shared" ref="H48:M60" si="47">+G48*1.03</f>
        <v>857.87560703160216</v>
      </c>
      <c r="I48" s="23">
        <f t="shared" si="47"/>
        <v>883.61187524255024</v>
      </c>
      <c r="J48" s="23">
        <f t="shared" si="47"/>
        <v>910.12023149982679</v>
      </c>
      <c r="K48" s="23">
        <f t="shared" si="47"/>
        <v>937.42383844482163</v>
      </c>
      <c r="L48" s="23">
        <f t="shared" si="47"/>
        <v>965.54655359816627</v>
      </c>
      <c r="M48" s="23">
        <f t="shared" si="47"/>
        <v>994.51295020611133</v>
      </c>
      <c r="N48" s="38"/>
      <c r="O48" s="38"/>
      <c r="P48" s="254">
        <v>150000</v>
      </c>
      <c r="Q48" s="255">
        <f t="shared" ref="Q48:Q60" si="48">IF(G48="","",IF(F48=0,"",G48-F48))</f>
        <v>19.520834504663299</v>
      </c>
      <c r="R48" s="256">
        <f t="shared" si="31"/>
        <v>2.4000000000000028E-2</v>
      </c>
      <c r="S48" s="255">
        <f t="shared" ref="S48:S60" si="49">IF(H48="","",IF(G48=0,"",H48-G48))</f>
        <v>24.986668165969036</v>
      </c>
      <c r="T48" s="257">
        <f t="shared" si="32"/>
        <v>3.0000000000000051E-2</v>
      </c>
      <c r="U48" s="258">
        <f t="shared" ref="U48:U60" si="50">IF(S48="","",S48+Q48)</f>
        <v>44.507502670632334</v>
      </c>
      <c r="V48" s="259">
        <f t="shared" si="33"/>
        <v>5.4720000000000081E-2</v>
      </c>
      <c r="W48" s="255">
        <f t="shared" ref="W48:W60" si="51">IF(I48="","",IF(H48=0,"",I48-H48))</f>
        <v>25.736268210948083</v>
      </c>
      <c r="X48" s="256">
        <f t="shared" si="34"/>
        <v>3.000000000000002E-2</v>
      </c>
      <c r="Y48" s="260">
        <f t="shared" ref="Y48:Y60" si="52">IF(W48="","",W48+U48)</f>
        <v>70.243770881580417</v>
      </c>
      <c r="Z48" s="259">
        <f t="shared" si="35"/>
        <v>8.6361600000000108E-2</v>
      </c>
      <c r="AA48" s="258">
        <f t="shared" ref="AA48:AA60" si="53">IF(J48="","",IF(I48=0,"",J48-I48))</f>
        <v>26.508356257276546</v>
      </c>
      <c r="AB48" s="256">
        <f t="shared" si="36"/>
        <v>3.0000000000000044E-2</v>
      </c>
      <c r="AC48" s="260">
        <f t="shared" ref="AC48:AC60" si="54">IF(AA48="","",AA48+Y48)</f>
        <v>96.752127138856963</v>
      </c>
      <c r="AD48" s="261">
        <f t="shared" si="37"/>
        <v>0.11895244800000015</v>
      </c>
      <c r="AE48" s="262">
        <v>150000</v>
      </c>
      <c r="AF48" s="38"/>
      <c r="AG48" s="38"/>
      <c r="AH48" s="263">
        <v>150000</v>
      </c>
      <c r="AI48" s="255">
        <f t="shared" ref="AI48:AI60" si="55">IF(K48="","",IF(J48=0,"",K48-J48))</f>
        <v>27.30360694499484</v>
      </c>
      <c r="AJ48" s="257">
        <f t="shared" si="38"/>
        <v>3.0000000000000041E-2</v>
      </c>
      <c r="AK48" s="260">
        <f t="shared" ref="AK48:AK60" si="56">IF(AI48="","",AI48+AC48)</f>
        <v>124.0557340838518</v>
      </c>
      <c r="AL48" s="259">
        <f t="shared" si="39"/>
        <v>0.15252102144000021</v>
      </c>
      <c r="AM48" s="258">
        <f t="shared" ref="AM48:AM60" si="57">IF(L48="","",IF(K48=0,"",L48-K48))</f>
        <v>28.122715153344643</v>
      </c>
      <c r="AN48" s="257">
        <f t="shared" si="40"/>
        <v>2.9999999999999995E-2</v>
      </c>
      <c r="AO48" s="260">
        <f t="shared" ref="AO48:AO60" si="58">IF(AM48="","",AM48+AK48)</f>
        <v>152.17844923719645</v>
      </c>
      <c r="AP48" s="261">
        <f t="shared" si="41"/>
        <v>0.1870966520832002</v>
      </c>
      <c r="AQ48" s="255">
        <f t="shared" ref="AQ48:AQ60" si="59">IF(M48="","",IF(L48=0,"",M48-L48))</f>
        <v>28.966396607945057</v>
      </c>
      <c r="AR48" s="257">
        <f t="shared" si="42"/>
        <v>3.0000000000000072E-2</v>
      </c>
      <c r="AS48" s="260">
        <f t="shared" ref="AS48:AS60" si="60">IF(AQ48="","",AQ48+AO48)</f>
        <v>181.1448458451415</v>
      </c>
      <c r="AT48" s="261">
        <f t="shared" si="43"/>
        <v>0.22270955164569631</v>
      </c>
      <c r="AU48" s="340"/>
    </row>
    <row r="49" spans="1:47" ht="12.75" x14ac:dyDescent="0.2">
      <c r="A49" s="26"/>
      <c r="B49" s="38"/>
      <c r="C49" s="252" t="s">
        <v>381</v>
      </c>
      <c r="D49" s="354">
        <f t="shared" si="44"/>
        <v>11141</v>
      </c>
      <c r="E49" s="253">
        <v>250000</v>
      </c>
      <c r="F49" s="23">
        <f t="shared" si="45"/>
        <v>1031.658984361384</v>
      </c>
      <c r="G49" s="23">
        <f t="shared" si="46"/>
        <v>1056.4187999860571</v>
      </c>
      <c r="H49" s="23">
        <f t="shared" si="47"/>
        <v>1088.1113639856389</v>
      </c>
      <c r="I49" s="23">
        <f t="shared" si="47"/>
        <v>1120.7547049052082</v>
      </c>
      <c r="J49" s="23">
        <f t="shared" si="47"/>
        <v>1154.3773460523644</v>
      </c>
      <c r="K49" s="23">
        <f t="shared" si="47"/>
        <v>1189.0086664339353</v>
      </c>
      <c r="L49" s="23">
        <f t="shared" si="47"/>
        <v>1224.6789264269535</v>
      </c>
      <c r="M49" s="23">
        <f t="shared" si="47"/>
        <v>1261.4192942197622</v>
      </c>
      <c r="N49" s="38"/>
      <c r="O49" s="38"/>
      <c r="P49" s="254">
        <v>250000</v>
      </c>
      <c r="Q49" s="255">
        <f t="shared" si="48"/>
        <v>24.759815624673138</v>
      </c>
      <c r="R49" s="256">
        <f t="shared" si="31"/>
        <v>2.3999999999999924E-2</v>
      </c>
      <c r="S49" s="255">
        <f t="shared" si="49"/>
        <v>31.692563999581807</v>
      </c>
      <c r="T49" s="257">
        <f t="shared" si="32"/>
        <v>3.0000000000000089E-2</v>
      </c>
      <c r="U49" s="258">
        <f t="shared" si="50"/>
        <v>56.452379624254945</v>
      </c>
      <c r="V49" s="259">
        <f t="shared" si="33"/>
        <v>5.4720000000000012E-2</v>
      </c>
      <c r="W49" s="255">
        <f t="shared" si="51"/>
        <v>32.643340919569255</v>
      </c>
      <c r="X49" s="256">
        <f t="shared" si="34"/>
        <v>3.0000000000000079E-2</v>
      </c>
      <c r="Y49" s="260">
        <f t="shared" si="52"/>
        <v>89.0957205438242</v>
      </c>
      <c r="Z49" s="259">
        <f t="shared" si="35"/>
        <v>8.6361600000000094E-2</v>
      </c>
      <c r="AA49" s="258">
        <f t="shared" si="53"/>
        <v>33.622641147156173</v>
      </c>
      <c r="AB49" s="256">
        <f t="shared" si="36"/>
        <v>2.9999999999999936E-2</v>
      </c>
      <c r="AC49" s="260">
        <f t="shared" si="54"/>
        <v>122.71836169098037</v>
      </c>
      <c r="AD49" s="261">
        <f t="shared" si="37"/>
        <v>0.11895244800000003</v>
      </c>
      <c r="AE49" s="262">
        <v>250000</v>
      </c>
      <c r="AF49" s="38"/>
      <c r="AG49" s="38"/>
      <c r="AH49" s="263">
        <v>250000</v>
      </c>
      <c r="AI49" s="255">
        <f t="shared" si="55"/>
        <v>34.631320381570958</v>
      </c>
      <c r="AJ49" s="257">
        <f t="shared" si="38"/>
        <v>3.0000000000000023E-2</v>
      </c>
      <c r="AK49" s="260">
        <f t="shared" si="56"/>
        <v>157.34968207255133</v>
      </c>
      <c r="AL49" s="259">
        <f t="shared" si="39"/>
        <v>0.15252102144000004</v>
      </c>
      <c r="AM49" s="258">
        <f t="shared" si="57"/>
        <v>35.670259993018135</v>
      </c>
      <c r="AN49" s="257">
        <f t="shared" si="40"/>
        <v>3.0000000000000065E-2</v>
      </c>
      <c r="AO49" s="260">
        <f t="shared" si="58"/>
        <v>193.01994206556947</v>
      </c>
      <c r="AP49" s="261">
        <f t="shared" si="41"/>
        <v>0.18709665208320014</v>
      </c>
      <c r="AQ49" s="255">
        <f t="shared" si="59"/>
        <v>36.740367792808684</v>
      </c>
      <c r="AR49" s="257">
        <f t="shared" si="42"/>
        <v>3.0000000000000065E-2</v>
      </c>
      <c r="AS49" s="260">
        <f t="shared" si="60"/>
        <v>229.76030985837815</v>
      </c>
      <c r="AT49" s="261">
        <f t="shared" si="43"/>
        <v>0.22270955164569622</v>
      </c>
      <c r="AU49" s="340"/>
    </row>
    <row r="50" spans="1:47" ht="12.75" x14ac:dyDescent="0.2">
      <c r="A50" s="26"/>
      <c r="B50" s="38"/>
      <c r="C50" s="252" t="s">
        <v>382</v>
      </c>
      <c r="D50" s="354">
        <f t="shared" si="44"/>
        <v>4566</v>
      </c>
      <c r="E50" s="253">
        <v>350000</v>
      </c>
      <c r="F50" s="23">
        <f t="shared" si="45"/>
        <v>1251.3438157381393</v>
      </c>
      <c r="G50" s="23">
        <f t="shared" si="46"/>
        <v>1281.3760673158547</v>
      </c>
      <c r="H50" s="23">
        <f t="shared" si="47"/>
        <v>1319.8173493353304</v>
      </c>
      <c r="I50" s="23">
        <f t="shared" si="47"/>
        <v>1359.4118698153904</v>
      </c>
      <c r="J50" s="23">
        <f t="shared" si="47"/>
        <v>1400.1942259098521</v>
      </c>
      <c r="K50" s="23">
        <f t="shared" si="47"/>
        <v>1442.2000526871477</v>
      </c>
      <c r="L50" s="23">
        <f t="shared" si="47"/>
        <v>1485.4660542677623</v>
      </c>
      <c r="M50" s="23">
        <f t="shared" si="47"/>
        <v>1530.0300358957952</v>
      </c>
      <c r="N50" s="38"/>
      <c r="O50" s="38"/>
      <c r="P50" s="254">
        <v>350000</v>
      </c>
      <c r="Q50" s="255">
        <f t="shared" si="48"/>
        <v>30.032251577715442</v>
      </c>
      <c r="R50" s="256">
        <f t="shared" si="31"/>
        <v>2.400000000000008E-2</v>
      </c>
      <c r="S50" s="255">
        <f t="shared" si="49"/>
        <v>38.441282019475693</v>
      </c>
      <c r="T50" s="257">
        <f t="shared" si="32"/>
        <v>3.0000000000000041E-2</v>
      </c>
      <c r="U50" s="258">
        <f t="shared" si="50"/>
        <v>68.473533597191135</v>
      </c>
      <c r="V50" s="259">
        <f t="shared" si="33"/>
        <v>5.4720000000000123E-2</v>
      </c>
      <c r="W50" s="255">
        <f t="shared" si="51"/>
        <v>39.594520480060055</v>
      </c>
      <c r="X50" s="256">
        <f t="shared" si="34"/>
        <v>3.000000000000011E-2</v>
      </c>
      <c r="Y50" s="260">
        <f t="shared" si="52"/>
        <v>108.06805407725119</v>
      </c>
      <c r="Z50" s="259">
        <f t="shared" si="35"/>
        <v>8.6361600000000247E-2</v>
      </c>
      <c r="AA50" s="258">
        <f t="shared" si="53"/>
        <v>40.782356094461647</v>
      </c>
      <c r="AB50" s="256">
        <f t="shared" si="36"/>
        <v>2.999999999999995E-2</v>
      </c>
      <c r="AC50" s="260">
        <f t="shared" si="54"/>
        <v>148.85041017171284</v>
      </c>
      <c r="AD50" s="261">
        <f t="shared" si="37"/>
        <v>0.1189524480000002</v>
      </c>
      <c r="AE50" s="262">
        <v>350000</v>
      </c>
      <c r="AF50" s="38"/>
      <c r="AG50" s="38"/>
      <c r="AH50" s="263">
        <v>350000</v>
      </c>
      <c r="AI50" s="255">
        <f t="shared" si="55"/>
        <v>42.005826777295624</v>
      </c>
      <c r="AJ50" s="257">
        <f t="shared" si="38"/>
        <v>3.0000000000000044E-2</v>
      </c>
      <c r="AK50" s="260">
        <f t="shared" si="56"/>
        <v>190.85623694900846</v>
      </c>
      <c r="AL50" s="259">
        <f t="shared" si="39"/>
        <v>0.15252102144000027</v>
      </c>
      <c r="AM50" s="258">
        <f t="shared" si="57"/>
        <v>43.266001580614557</v>
      </c>
      <c r="AN50" s="257">
        <f t="shared" si="40"/>
        <v>3.0000000000000086E-2</v>
      </c>
      <c r="AO50" s="260">
        <f t="shared" si="58"/>
        <v>234.12223852962302</v>
      </c>
      <c r="AP50" s="261">
        <f t="shared" si="41"/>
        <v>0.18709665208320037</v>
      </c>
      <c r="AQ50" s="255">
        <f t="shared" si="59"/>
        <v>44.563981628032934</v>
      </c>
      <c r="AR50" s="257">
        <f t="shared" si="42"/>
        <v>3.0000000000000044E-2</v>
      </c>
      <c r="AS50" s="260">
        <f t="shared" si="60"/>
        <v>278.68622015765595</v>
      </c>
      <c r="AT50" s="261">
        <f t="shared" si="43"/>
        <v>0.22270955164569642</v>
      </c>
      <c r="AU50" s="340"/>
    </row>
    <row r="51" spans="1:47" ht="12.75" x14ac:dyDescent="0.2">
      <c r="A51" s="26"/>
      <c r="B51" s="38"/>
      <c r="C51" s="252" t="s">
        <v>383</v>
      </c>
      <c r="D51" s="354">
        <f t="shared" si="44"/>
        <v>1919</v>
      </c>
      <c r="E51" s="253">
        <v>450000</v>
      </c>
      <c r="F51" s="23">
        <f t="shared" si="45"/>
        <v>1470.636834768477</v>
      </c>
      <c r="G51" s="23">
        <f t="shared" si="46"/>
        <v>1505.9321188029205</v>
      </c>
      <c r="H51" s="23">
        <f t="shared" si="47"/>
        <v>1551.1100823670081</v>
      </c>
      <c r="I51" s="23">
        <f t="shared" si="47"/>
        <v>1597.6433848380184</v>
      </c>
      <c r="J51" s="23">
        <f t="shared" si="47"/>
        <v>1645.572686383159</v>
      </c>
      <c r="K51" s="23">
        <f t="shared" si="47"/>
        <v>1694.9398669746538</v>
      </c>
      <c r="L51" s="23">
        <f t="shared" si="47"/>
        <v>1745.7880629838935</v>
      </c>
      <c r="M51" s="23">
        <f t="shared" si="47"/>
        <v>1798.1617048734104</v>
      </c>
      <c r="N51" s="38"/>
      <c r="O51" s="38"/>
      <c r="P51" s="254">
        <v>450000</v>
      </c>
      <c r="Q51" s="255">
        <f t="shared" si="48"/>
        <v>35.295284034443512</v>
      </c>
      <c r="R51" s="256">
        <f t="shared" si="31"/>
        <v>2.4000000000000042E-2</v>
      </c>
      <c r="S51" s="255">
        <f t="shared" si="49"/>
        <v>45.177963564087577</v>
      </c>
      <c r="T51" s="257">
        <f t="shared" si="32"/>
        <v>2.9999999999999975E-2</v>
      </c>
      <c r="U51" s="258">
        <f t="shared" si="50"/>
        <v>80.473247598531088</v>
      </c>
      <c r="V51" s="259">
        <f t="shared" si="33"/>
        <v>5.4720000000000019E-2</v>
      </c>
      <c r="W51" s="255">
        <f t="shared" si="51"/>
        <v>46.533302471010302</v>
      </c>
      <c r="X51" s="256">
        <f t="shared" si="34"/>
        <v>3.0000000000000037E-2</v>
      </c>
      <c r="Y51" s="260">
        <f t="shared" si="52"/>
        <v>127.00655006954139</v>
      </c>
      <c r="Z51" s="259">
        <f t="shared" si="35"/>
        <v>8.6361600000000052E-2</v>
      </c>
      <c r="AA51" s="258">
        <f t="shared" si="53"/>
        <v>47.929301545140561</v>
      </c>
      <c r="AB51" s="256">
        <f t="shared" si="36"/>
        <v>3.0000000000000006E-2</v>
      </c>
      <c r="AC51" s="260">
        <f t="shared" si="54"/>
        <v>174.93585161468195</v>
      </c>
      <c r="AD51" s="261">
        <f t="shared" si="37"/>
        <v>0.11895244800000007</v>
      </c>
      <c r="AE51" s="262">
        <v>450000</v>
      </c>
      <c r="AF51" s="38"/>
      <c r="AG51" s="38"/>
      <c r="AH51" s="263">
        <v>450000</v>
      </c>
      <c r="AI51" s="255">
        <f t="shared" si="55"/>
        <v>49.367180591494844</v>
      </c>
      <c r="AJ51" s="257">
        <f t="shared" si="38"/>
        <v>3.0000000000000044E-2</v>
      </c>
      <c r="AK51" s="260">
        <f t="shared" si="56"/>
        <v>224.30303220617679</v>
      </c>
      <c r="AL51" s="259">
        <f t="shared" si="39"/>
        <v>0.15252102144000013</v>
      </c>
      <c r="AM51" s="258">
        <f t="shared" si="57"/>
        <v>50.8481960092397</v>
      </c>
      <c r="AN51" s="257">
        <f t="shared" si="40"/>
        <v>3.0000000000000051E-2</v>
      </c>
      <c r="AO51" s="260">
        <f t="shared" si="58"/>
        <v>275.1512282154165</v>
      </c>
      <c r="AP51" s="261">
        <f t="shared" si="41"/>
        <v>0.18709665208320017</v>
      </c>
      <c r="AQ51" s="255">
        <f t="shared" si="59"/>
        <v>52.373641889516875</v>
      </c>
      <c r="AR51" s="257">
        <f t="shared" si="42"/>
        <v>3.0000000000000041E-2</v>
      </c>
      <c r="AS51" s="260">
        <f t="shared" si="60"/>
        <v>327.52487010493337</v>
      </c>
      <c r="AT51" s="261">
        <f t="shared" si="43"/>
        <v>0.22270955164569622</v>
      </c>
      <c r="AU51" s="340"/>
    </row>
    <row r="52" spans="1:47" ht="12.75" x14ac:dyDescent="0.2">
      <c r="A52" s="26"/>
      <c r="B52" s="38"/>
      <c r="C52" s="252" t="s">
        <v>384</v>
      </c>
      <c r="D52" s="354">
        <f t="shared" si="44"/>
        <v>1187</v>
      </c>
      <c r="E52" s="253">
        <v>550000</v>
      </c>
      <c r="F52" s="23">
        <f t="shared" si="45"/>
        <v>1691.9825414352754</v>
      </c>
      <c r="G52" s="23">
        <f t="shared" si="46"/>
        <v>1732.590122429722</v>
      </c>
      <c r="H52" s="23">
        <f t="shared" si="47"/>
        <v>1784.5678261026137</v>
      </c>
      <c r="I52" s="23">
        <f t="shared" si="47"/>
        <v>1838.1048608856922</v>
      </c>
      <c r="J52" s="23">
        <f t="shared" si="47"/>
        <v>1893.2480067122631</v>
      </c>
      <c r="K52" s="23">
        <f t="shared" si="47"/>
        <v>1950.0454469136309</v>
      </c>
      <c r="L52" s="23">
        <f t="shared" si="47"/>
        <v>2008.5468103210399</v>
      </c>
      <c r="M52" s="23">
        <f t="shared" si="47"/>
        <v>2068.8032146306709</v>
      </c>
      <c r="N52" s="38"/>
      <c r="O52" s="38"/>
      <c r="P52" s="254">
        <v>550000</v>
      </c>
      <c r="Q52" s="255">
        <f t="shared" si="48"/>
        <v>40.607580994446607</v>
      </c>
      <c r="R52" s="256">
        <f t="shared" si="31"/>
        <v>2.4E-2</v>
      </c>
      <c r="S52" s="255">
        <f t="shared" si="49"/>
        <v>51.977703672891721</v>
      </c>
      <c r="T52" s="257">
        <f t="shared" si="32"/>
        <v>3.0000000000000037E-2</v>
      </c>
      <c r="U52" s="258">
        <f t="shared" si="50"/>
        <v>92.585284667338328</v>
      </c>
      <c r="V52" s="259">
        <f t="shared" si="33"/>
        <v>5.4720000000000033E-2</v>
      </c>
      <c r="W52" s="255">
        <f t="shared" si="51"/>
        <v>53.537034783078525</v>
      </c>
      <c r="X52" s="256">
        <f t="shared" si="34"/>
        <v>3.0000000000000065E-2</v>
      </c>
      <c r="Y52" s="260">
        <f t="shared" si="52"/>
        <v>146.12231945041685</v>
      </c>
      <c r="Z52" s="259">
        <f t="shared" si="35"/>
        <v>8.6361600000000108E-2</v>
      </c>
      <c r="AA52" s="258">
        <f t="shared" si="53"/>
        <v>55.143145826570844</v>
      </c>
      <c r="AB52" s="256">
        <f t="shared" si="36"/>
        <v>3.0000000000000041E-2</v>
      </c>
      <c r="AC52" s="260">
        <f t="shared" si="54"/>
        <v>201.2654652769877</v>
      </c>
      <c r="AD52" s="261">
        <f t="shared" si="37"/>
        <v>0.11895244800000015</v>
      </c>
      <c r="AE52" s="262">
        <v>550000</v>
      </c>
      <c r="AF52" s="38"/>
      <c r="AG52" s="38"/>
      <c r="AH52" s="263">
        <v>550000</v>
      </c>
      <c r="AI52" s="255">
        <f t="shared" si="55"/>
        <v>56.797440201367863</v>
      </c>
      <c r="AJ52" s="257">
        <f t="shared" si="38"/>
        <v>2.9999999999999985E-2</v>
      </c>
      <c r="AK52" s="260">
        <f t="shared" si="56"/>
        <v>258.06290547835556</v>
      </c>
      <c r="AL52" s="259">
        <f t="shared" si="39"/>
        <v>0.15252102144000013</v>
      </c>
      <c r="AM52" s="258">
        <f t="shared" si="57"/>
        <v>58.501363407408917</v>
      </c>
      <c r="AN52" s="257">
        <f t="shared" si="40"/>
        <v>2.9999999999999995E-2</v>
      </c>
      <c r="AO52" s="260">
        <f t="shared" si="58"/>
        <v>316.56426888576448</v>
      </c>
      <c r="AP52" s="261">
        <f t="shared" si="41"/>
        <v>0.18709665208320014</v>
      </c>
      <c r="AQ52" s="255">
        <f t="shared" si="59"/>
        <v>60.25640430963108</v>
      </c>
      <c r="AR52" s="257">
        <f t="shared" si="42"/>
        <v>2.9999999999999943E-2</v>
      </c>
      <c r="AS52" s="260">
        <f t="shared" si="60"/>
        <v>376.82067319539556</v>
      </c>
      <c r="AT52" s="261">
        <f t="shared" si="43"/>
        <v>0.22270955164569609</v>
      </c>
      <c r="AU52" s="340"/>
    </row>
    <row r="53" spans="1:47" ht="12.75" x14ac:dyDescent="0.2">
      <c r="A53" s="26"/>
      <c r="B53" s="38"/>
      <c r="C53" s="252" t="s">
        <v>385</v>
      </c>
      <c r="D53" s="354">
        <f t="shared" si="44"/>
        <v>623</v>
      </c>
      <c r="E53" s="253">
        <v>650000</v>
      </c>
      <c r="F53" s="23">
        <f t="shared" si="45"/>
        <v>1907.842047782648</v>
      </c>
      <c r="G53" s="23">
        <f t="shared" si="46"/>
        <v>1953.6302569294317</v>
      </c>
      <c r="H53" s="23">
        <f t="shared" si="47"/>
        <v>2012.2391646373146</v>
      </c>
      <c r="I53" s="23">
        <f t="shared" si="47"/>
        <v>2072.606339576434</v>
      </c>
      <c r="J53" s="23">
        <f t="shared" si="47"/>
        <v>2134.7845297637273</v>
      </c>
      <c r="K53" s="23">
        <f t="shared" si="47"/>
        <v>2198.828065656639</v>
      </c>
      <c r="L53" s="23">
        <f t="shared" si="47"/>
        <v>2264.7929076263381</v>
      </c>
      <c r="M53" s="23">
        <f t="shared" si="47"/>
        <v>2332.7366948551285</v>
      </c>
      <c r="N53" s="38"/>
      <c r="O53" s="38"/>
      <c r="P53" s="254">
        <v>650000</v>
      </c>
      <c r="Q53" s="255">
        <f t="shared" si="48"/>
        <v>45.788209146783629</v>
      </c>
      <c r="R53" s="256">
        <f t="shared" si="31"/>
        <v>2.4000000000000039E-2</v>
      </c>
      <c r="S53" s="255">
        <f t="shared" si="49"/>
        <v>58.608907707882963</v>
      </c>
      <c r="T53" s="257">
        <f t="shared" si="32"/>
        <v>3.0000000000000006E-2</v>
      </c>
      <c r="U53" s="258">
        <f t="shared" si="50"/>
        <v>104.39711685466659</v>
      </c>
      <c r="V53" s="259">
        <f t="shared" si="33"/>
        <v>5.4720000000000046E-2</v>
      </c>
      <c r="W53" s="255">
        <f t="shared" si="51"/>
        <v>60.367174939119423</v>
      </c>
      <c r="X53" s="256">
        <f t="shared" si="34"/>
        <v>2.9999999999999992E-2</v>
      </c>
      <c r="Y53" s="260">
        <f t="shared" si="52"/>
        <v>164.76429179378601</v>
      </c>
      <c r="Z53" s="259">
        <f t="shared" si="35"/>
        <v>8.6361600000000038E-2</v>
      </c>
      <c r="AA53" s="258">
        <f t="shared" si="53"/>
        <v>62.178190187293239</v>
      </c>
      <c r="AB53" s="256">
        <f t="shared" si="36"/>
        <v>3.0000000000000106E-2</v>
      </c>
      <c r="AC53" s="260">
        <f t="shared" si="54"/>
        <v>226.94248198107925</v>
      </c>
      <c r="AD53" s="261">
        <f t="shared" si="37"/>
        <v>0.11895244800000015</v>
      </c>
      <c r="AE53" s="262">
        <v>650000</v>
      </c>
      <c r="AF53" s="38"/>
      <c r="AG53" s="38"/>
      <c r="AH53" s="263">
        <v>650000</v>
      </c>
      <c r="AI53" s="255">
        <f t="shared" si="55"/>
        <v>64.043535892911677</v>
      </c>
      <c r="AJ53" s="257">
        <f t="shared" si="38"/>
        <v>2.9999999999999933E-2</v>
      </c>
      <c r="AK53" s="260">
        <f t="shared" si="56"/>
        <v>290.98601787399093</v>
      </c>
      <c r="AL53" s="259">
        <f t="shared" si="39"/>
        <v>0.1525210214400001</v>
      </c>
      <c r="AM53" s="258">
        <f t="shared" si="57"/>
        <v>65.964841969699137</v>
      </c>
      <c r="AN53" s="257">
        <f t="shared" si="40"/>
        <v>2.9999999999999985E-2</v>
      </c>
      <c r="AO53" s="260">
        <f t="shared" si="58"/>
        <v>356.95085984369007</v>
      </c>
      <c r="AP53" s="261">
        <f t="shared" si="41"/>
        <v>0.18709665208320006</v>
      </c>
      <c r="AQ53" s="255">
        <f t="shared" si="59"/>
        <v>67.94378722879037</v>
      </c>
      <c r="AR53" s="257">
        <f t="shared" si="42"/>
        <v>3.00000000000001E-2</v>
      </c>
      <c r="AS53" s="260">
        <f t="shared" si="60"/>
        <v>424.89464707248044</v>
      </c>
      <c r="AT53" s="261">
        <f t="shared" si="43"/>
        <v>0.2227095516456962</v>
      </c>
      <c r="AU53" s="340"/>
    </row>
    <row r="54" spans="1:47" ht="12.75" x14ac:dyDescent="0.2">
      <c r="A54" s="26"/>
      <c r="B54" s="38"/>
      <c r="C54" s="252" t="s">
        <v>386</v>
      </c>
      <c r="D54" s="354">
        <f t="shared" si="44"/>
        <v>432</v>
      </c>
      <c r="E54" s="253">
        <v>750000</v>
      </c>
      <c r="F54" s="23">
        <f t="shared" si="45"/>
        <v>2131.1754361341118</v>
      </c>
      <c r="G54" s="23">
        <f t="shared" si="46"/>
        <v>2182.3236466013304</v>
      </c>
      <c r="H54" s="23">
        <f t="shared" si="47"/>
        <v>2247.7933559993703</v>
      </c>
      <c r="I54" s="23">
        <f t="shared" si="47"/>
        <v>2315.2271566793515</v>
      </c>
      <c r="J54" s="23">
        <f t="shared" si="47"/>
        <v>2384.6839713797322</v>
      </c>
      <c r="K54" s="23">
        <f t="shared" si="47"/>
        <v>2456.2244905211242</v>
      </c>
      <c r="L54" s="23">
        <f t="shared" si="47"/>
        <v>2529.9112252367581</v>
      </c>
      <c r="M54" s="23">
        <f t="shared" si="47"/>
        <v>2605.8085619938611</v>
      </c>
      <c r="N54" s="38"/>
      <c r="O54" s="38"/>
      <c r="P54" s="254">
        <v>750000</v>
      </c>
      <c r="Q54" s="255">
        <f t="shared" si="48"/>
        <v>51.148210467218632</v>
      </c>
      <c r="R54" s="256">
        <f t="shared" si="31"/>
        <v>2.3999999999999976E-2</v>
      </c>
      <c r="S54" s="255">
        <f t="shared" si="49"/>
        <v>65.469709398039868</v>
      </c>
      <c r="T54" s="257">
        <f t="shared" si="32"/>
        <v>2.9999999999999978E-2</v>
      </c>
      <c r="U54" s="258">
        <f t="shared" si="50"/>
        <v>116.6179198652585</v>
      </c>
      <c r="V54" s="259">
        <f t="shared" si="33"/>
        <v>5.4719999999999956E-2</v>
      </c>
      <c r="W54" s="255">
        <f t="shared" si="51"/>
        <v>67.433800679981232</v>
      </c>
      <c r="X54" s="256">
        <f t="shared" si="34"/>
        <v>3.0000000000000054E-2</v>
      </c>
      <c r="Y54" s="260">
        <f t="shared" si="52"/>
        <v>184.05172054523973</v>
      </c>
      <c r="Z54" s="259">
        <f t="shared" si="35"/>
        <v>8.6361600000000011E-2</v>
      </c>
      <c r="AA54" s="258">
        <f t="shared" si="53"/>
        <v>69.456814700380619</v>
      </c>
      <c r="AB54" s="256">
        <f t="shared" si="36"/>
        <v>3.000000000000003E-2</v>
      </c>
      <c r="AC54" s="260">
        <f t="shared" si="54"/>
        <v>253.50853524562035</v>
      </c>
      <c r="AD54" s="261">
        <f t="shared" si="37"/>
        <v>0.11895244800000004</v>
      </c>
      <c r="AE54" s="262">
        <v>750000</v>
      </c>
      <c r="AF54" s="38"/>
      <c r="AG54" s="38"/>
      <c r="AH54" s="263">
        <v>750000</v>
      </c>
      <c r="AI54" s="255">
        <f t="shared" si="55"/>
        <v>71.540519141391997</v>
      </c>
      <c r="AJ54" s="257">
        <f t="shared" si="38"/>
        <v>3.0000000000000013E-2</v>
      </c>
      <c r="AK54" s="260">
        <f t="shared" si="56"/>
        <v>325.04905438701235</v>
      </c>
      <c r="AL54" s="259">
        <f t="shared" si="39"/>
        <v>0.15252102144000007</v>
      </c>
      <c r="AM54" s="258">
        <f t="shared" si="57"/>
        <v>73.686734715633975</v>
      </c>
      <c r="AN54" s="257">
        <f t="shared" si="40"/>
        <v>3.0000000000000103E-2</v>
      </c>
      <c r="AO54" s="260">
        <f t="shared" si="58"/>
        <v>398.73578910264632</v>
      </c>
      <c r="AP54" s="261">
        <f t="shared" si="41"/>
        <v>0.18709665208320017</v>
      </c>
      <c r="AQ54" s="255">
        <f t="shared" si="59"/>
        <v>75.897336757102948</v>
      </c>
      <c r="AR54" s="257">
        <f t="shared" si="42"/>
        <v>3.0000000000000082E-2</v>
      </c>
      <c r="AS54" s="260">
        <f t="shared" si="60"/>
        <v>474.63312585974927</v>
      </c>
      <c r="AT54" s="261">
        <f t="shared" si="43"/>
        <v>0.22270955164569628</v>
      </c>
      <c r="AU54" s="340"/>
    </row>
    <row r="55" spans="1:47" ht="12.75" x14ac:dyDescent="0.2">
      <c r="A55" s="26"/>
      <c r="B55" s="38"/>
      <c r="C55" s="252" t="s">
        <v>387</v>
      </c>
      <c r="D55" s="354">
        <f t="shared" si="44"/>
        <v>430</v>
      </c>
      <c r="E55" s="253">
        <v>850000</v>
      </c>
      <c r="F55" s="23">
        <f t="shared" si="45"/>
        <v>2350.6656835540934</v>
      </c>
      <c r="G55" s="23">
        <f t="shared" si="46"/>
        <v>2407.0816599593918</v>
      </c>
      <c r="H55" s="23">
        <f t="shared" si="47"/>
        <v>2479.2941097581738</v>
      </c>
      <c r="I55" s="23">
        <f t="shared" si="47"/>
        <v>2553.6729330509193</v>
      </c>
      <c r="J55" s="23">
        <f t="shared" si="47"/>
        <v>2630.283121042447</v>
      </c>
      <c r="K55" s="23">
        <f t="shared" si="47"/>
        <v>2709.1916146737203</v>
      </c>
      <c r="L55" s="23">
        <f t="shared" si="47"/>
        <v>2790.4673631139322</v>
      </c>
      <c r="M55" s="23">
        <f t="shared" si="47"/>
        <v>2874.1813840073501</v>
      </c>
      <c r="N55" s="38"/>
      <c r="O55" s="38"/>
      <c r="P55" s="254">
        <v>850000</v>
      </c>
      <c r="Q55" s="255">
        <f t="shared" si="48"/>
        <v>56.415976405298352</v>
      </c>
      <c r="R55" s="256">
        <f t="shared" si="31"/>
        <v>2.4000000000000046E-2</v>
      </c>
      <c r="S55" s="255">
        <f t="shared" si="49"/>
        <v>72.212449798782018</v>
      </c>
      <c r="T55" s="257">
        <f t="shared" si="32"/>
        <v>3.000000000000011E-2</v>
      </c>
      <c r="U55" s="258">
        <f t="shared" si="50"/>
        <v>128.62842620408037</v>
      </c>
      <c r="V55" s="259">
        <f t="shared" si="33"/>
        <v>5.4720000000000157E-2</v>
      </c>
      <c r="W55" s="255">
        <f t="shared" si="51"/>
        <v>74.378823292745437</v>
      </c>
      <c r="X55" s="256">
        <f t="shared" si="34"/>
        <v>3.0000000000000089E-2</v>
      </c>
      <c r="Y55" s="260">
        <f t="shared" si="52"/>
        <v>203.00724949682581</v>
      </c>
      <c r="Z55" s="259">
        <f t="shared" si="35"/>
        <v>8.636160000000026E-2</v>
      </c>
      <c r="AA55" s="258">
        <f t="shared" si="53"/>
        <v>76.61018799152771</v>
      </c>
      <c r="AB55" s="256">
        <f t="shared" si="36"/>
        <v>3.0000000000000051E-2</v>
      </c>
      <c r="AC55" s="260">
        <f t="shared" si="54"/>
        <v>279.61743748835352</v>
      </c>
      <c r="AD55" s="261">
        <f t="shared" si="37"/>
        <v>0.11895244800000032</v>
      </c>
      <c r="AE55" s="262">
        <v>850000</v>
      </c>
      <c r="AF55" s="38"/>
      <c r="AG55" s="38"/>
      <c r="AH55" s="263">
        <v>850000</v>
      </c>
      <c r="AI55" s="255">
        <f t="shared" si="55"/>
        <v>78.908493631273359</v>
      </c>
      <c r="AJ55" s="257">
        <f t="shared" si="38"/>
        <v>2.9999999999999982E-2</v>
      </c>
      <c r="AK55" s="260">
        <f t="shared" si="56"/>
        <v>358.52593111962688</v>
      </c>
      <c r="AL55" s="259">
        <f t="shared" si="39"/>
        <v>0.15252102144000032</v>
      </c>
      <c r="AM55" s="258">
        <f t="shared" si="57"/>
        <v>81.275748440211828</v>
      </c>
      <c r="AN55" s="257">
        <f t="shared" si="40"/>
        <v>3.0000000000000082E-2</v>
      </c>
      <c r="AO55" s="260">
        <f t="shared" si="58"/>
        <v>439.8016795598387</v>
      </c>
      <c r="AP55" s="261">
        <f t="shared" si="41"/>
        <v>0.18709665208320042</v>
      </c>
      <c r="AQ55" s="255">
        <f t="shared" si="59"/>
        <v>83.71402089341791</v>
      </c>
      <c r="AR55" s="257">
        <f t="shared" si="42"/>
        <v>2.9999999999999982E-2</v>
      </c>
      <c r="AS55" s="260">
        <f t="shared" si="60"/>
        <v>523.51570045325661</v>
      </c>
      <c r="AT55" s="261">
        <f t="shared" si="43"/>
        <v>0.22270955164569639</v>
      </c>
      <c r="AU55" s="340"/>
    </row>
    <row r="56" spans="1:47" ht="12.75" x14ac:dyDescent="0.2">
      <c r="A56" s="26"/>
      <c r="B56" s="38"/>
      <c r="C56" s="252" t="s">
        <v>388</v>
      </c>
      <c r="D56" s="354">
        <f t="shared" si="44"/>
        <v>106</v>
      </c>
      <c r="E56" s="253">
        <v>950000</v>
      </c>
      <c r="F56" s="23">
        <f t="shared" si="45"/>
        <v>2570.1554583456523</v>
      </c>
      <c r="G56" s="23">
        <f t="shared" si="46"/>
        <v>2631.8391893459479</v>
      </c>
      <c r="H56" s="23">
        <f t="shared" si="47"/>
        <v>2710.7943650263264</v>
      </c>
      <c r="I56" s="23">
        <f t="shared" si="47"/>
        <v>2792.1181959771161</v>
      </c>
      <c r="J56" s="23">
        <f t="shared" si="47"/>
        <v>2875.8817418564295</v>
      </c>
      <c r="K56" s="23">
        <f t="shared" si="47"/>
        <v>2962.1581941121226</v>
      </c>
      <c r="L56" s="23">
        <f t="shared" si="47"/>
        <v>3051.0229399354862</v>
      </c>
      <c r="M56" s="23">
        <f t="shared" si="47"/>
        <v>3142.5536281335508</v>
      </c>
      <c r="N56" s="38"/>
      <c r="O56" s="38"/>
      <c r="P56" s="254">
        <v>950000</v>
      </c>
      <c r="Q56" s="255">
        <f t="shared" si="48"/>
        <v>61.683731000295666</v>
      </c>
      <c r="R56" s="256">
        <f t="shared" si="31"/>
        <v>2.4000000000000004E-2</v>
      </c>
      <c r="S56" s="255">
        <f t="shared" si="49"/>
        <v>78.955175680378488</v>
      </c>
      <c r="T56" s="257">
        <f t="shared" si="32"/>
        <v>3.000000000000002E-2</v>
      </c>
      <c r="U56" s="258">
        <f t="shared" si="50"/>
        <v>140.63890668067415</v>
      </c>
      <c r="V56" s="259">
        <f t="shared" si="33"/>
        <v>5.4720000000000026E-2</v>
      </c>
      <c r="W56" s="255">
        <f t="shared" si="51"/>
        <v>81.32383095078967</v>
      </c>
      <c r="X56" s="256">
        <f t="shared" si="34"/>
        <v>2.9999999999999954E-2</v>
      </c>
      <c r="Y56" s="260">
        <f t="shared" si="52"/>
        <v>221.96273763146382</v>
      </c>
      <c r="Z56" s="259">
        <f t="shared" si="35"/>
        <v>8.6361599999999983E-2</v>
      </c>
      <c r="AA56" s="258">
        <f t="shared" si="53"/>
        <v>83.763545879313369</v>
      </c>
      <c r="AB56" s="256">
        <f t="shared" si="36"/>
        <v>2.9999999999999961E-2</v>
      </c>
      <c r="AC56" s="260">
        <f t="shared" si="54"/>
        <v>305.72628351077719</v>
      </c>
      <c r="AD56" s="261">
        <f t="shared" si="37"/>
        <v>0.11895244799999993</v>
      </c>
      <c r="AE56" s="262">
        <v>950000</v>
      </c>
      <c r="AF56" s="38"/>
      <c r="AG56" s="38"/>
      <c r="AH56" s="263">
        <v>950000</v>
      </c>
      <c r="AI56" s="255">
        <f t="shared" si="55"/>
        <v>86.27645225569313</v>
      </c>
      <c r="AJ56" s="257">
        <f t="shared" si="38"/>
        <v>3.0000000000000086E-2</v>
      </c>
      <c r="AK56" s="260">
        <f t="shared" si="56"/>
        <v>392.00273576647032</v>
      </c>
      <c r="AL56" s="259">
        <f t="shared" si="39"/>
        <v>0.15252102144000002</v>
      </c>
      <c r="AM56" s="258">
        <f t="shared" si="57"/>
        <v>88.864745823363592</v>
      </c>
      <c r="AN56" s="257">
        <f t="shared" si="40"/>
        <v>2.9999999999999971E-2</v>
      </c>
      <c r="AO56" s="260">
        <f t="shared" si="58"/>
        <v>480.86748158983391</v>
      </c>
      <c r="AP56" s="261">
        <f t="shared" si="41"/>
        <v>0.1870966520832</v>
      </c>
      <c r="AQ56" s="255">
        <f t="shared" si="59"/>
        <v>91.530688198064581</v>
      </c>
      <c r="AR56" s="257">
        <f t="shared" si="42"/>
        <v>0.03</v>
      </c>
      <c r="AS56" s="260">
        <f t="shared" si="60"/>
        <v>572.3981697878985</v>
      </c>
      <c r="AT56" s="261">
        <f t="shared" si="43"/>
        <v>0.222709551645696</v>
      </c>
      <c r="AU56" s="340"/>
    </row>
    <row r="57" spans="1:47" ht="12.75" x14ac:dyDescent="0.2">
      <c r="A57" s="26"/>
      <c r="B57" s="38"/>
      <c r="C57" s="252" t="s">
        <v>390</v>
      </c>
      <c r="D57" s="354">
        <f t="shared" si="44"/>
        <v>140</v>
      </c>
      <c r="E57" s="253">
        <v>1250000</v>
      </c>
      <c r="F57" s="23">
        <f t="shared" si="45"/>
        <v>3228.6250215438854</v>
      </c>
      <c r="G57" s="23">
        <f t="shared" si="46"/>
        <v>3306.1120220609387</v>
      </c>
      <c r="H57" s="23">
        <f t="shared" si="47"/>
        <v>3405.295382722767</v>
      </c>
      <c r="I57" s="23">
        <f t="shared" si="47"/>
        <v>3507.4542442044503</v>
      </c>
      <c r="J57" s="23">
        <f t="shared" si="47"/>
        <v>3612.6778715305841</v>
      </c>
      <c r="K57" s="23">
        <f t="shared" si="47"/>
        <v>3721.0582076765018</v>
      </c>
      <c r="L57" s="23">
        <f t="shared" si="47"/>
        <v>3832.6899539067967</v>
      </c>
      <c r="M57" s="23">
        <f t="shared" si="47"/>
        <v>3947.6706525240006</v>
      </c>
      <c r="N57" s="38"/>
      <c r="O57" s="38"/>
      <c r="P57" s="254">
        <v>1250000</v>
      </c>
      <c r="Q57" s="255">
        <f t="shared" si="48"/>
        <v>77.487000517053275</v>
      </c>
      <c r="R57" s="256">
        <f t="shared" si="31"/>
        <v>2.4000000000000007E-2</v>
      </c>
      <c r="S57" s="255">
        <f t="shared" si="49"/>
        <v>99.183360661828374</v>
      </c>
      <c r="T57" s="257">
        <f t="shared" si="32"/>
        <v>3.0000000000000065E-2</v>
      </c>
      <c r="U57" s="258">
        <f t="shared" si="50"/>
        <v>176.67036117888165</v>
      </c>
      <c r="V57" s="259">
        <f t="shared" si="33"/>
        <v>5.4720000000000074E-2</v>
      </c>
      <c r="W57" s="255">
        <f t="shared" si="51"/>
        <v>102.15886148168329</v>
      </c>
      <c r="X57" s="256">
        <f t="shared" si="34"/>
        <v>3.0000000000000082E-2</v>
      </c>
      <c r="Y57" s="260">
        <f t="shared" si="52"/>
        <v>278.82922266056494</v>
      </c>
      <c r="Z57" s="259">
        <f t="shared" si="35"/>
        <v>8.6361600000000163E-2</v>
      </c>
      <c r="AA57" s="258">
        <f t="shared" si="53"/>
        <v>105.22362732613374</v>
      </c>
      <c r="AB57" s="256">
        <f t="shared" si="36"/>
        <v>3.0000000000000065E-2</v>
      </c>
      <c r="AC57" s="260">
        <f t="shared" si="54"/>
        <v>384.05284998669867</v>
      </c>
      <c r="AD57" s="261">
        <f t="shared" si="37"/>
        <v>0.11895244800000024</v>
      </c>
      <c r="AE57" s="262">
        <v>1250000</v>
      </c>
      <c r="AF57" s="38"/>
      <c r="AG57" s="38"/>
      <c r="AH57" s="263">
        <v>1250000</v>
      </c>
      <c r="AI57" s="255">
        <f t="shared" si="55"/>
        <v>108.38033614591768</v>
      </c>
      <c r="AJ57" s="257">
        <f t="shared" si="38"/>
        <v>3.0000000000000044E-2</v>
      </c>
      <c r="AK57" s="260">
        <f t="shared" si="56"/>
        <v>492.43318613261636</v>
      </c>
      <c r="AL57" s="259">
        <f t="shared" si="39"/>
        <v>0.15252102144000029</v>
      </c>
      <c r="AM57" s="258">
        <f t="shared" si="57"/>
        <v>111.63174623029499</v>
      </c>
      <c r="AN57" s="257">
        <f t="shared" si="40"/>
        <v>2.9999999999999985E-2</v>
      </c>
      <c r="AO57" s="260">
        <f t="shared" si="58"/>
        <v>604.06493236291135</v>
      </c>
      <c r="AP57" s="261">
        <f t="shared" si="41"/>
        <v>0.18709665208320028</v>
      </c>
      <c r="AQ57" s="255">
        <f t="shared" si="59"/>
        <v>114.98069861720387</v>
      </c>
      <c r="AR57" s="257">
        <f t="shared" si="42"/>
        <v>2.9999999999999992E-2</v>
      </c>
      <c r="AS57" s="260">
        <f t="shared" si="60"/>
        <v>719.04563098011522</v>
      </c>
      <c r="AT57" s="261">
        <f t="shared" si="43"/>
        <v>0.22270955164569628</v>
      </c>
      <c r="AU57" s="340"/>
    </row>
    <row r="58" spans="1:47" ht="12.75" x14ac:dyDescent="0.2">
      <c r="A58" s="26"/>
      <c r="B58" s="38"/>
      <c r="C58" s="252" t="s">
        <v>391</v>
      </c>
      <c r="D58" s="354">
        <f t="shared" si="44"/>
        <v>31</v>
      </c>
      <c r="E58" s="253">
        <v>1750000</v>
      </c>
      <c r="F58" s="23">
        <f t="shared" si="45"/>
        <v>4326.0757666867112</v>
      </c>
      <c r="G58" s="23">
        <f t="shared" si="46"/>
        <v>4429.901585087192</v>
      </c>
      <c r="H58" s="23">
        <f t="shared" si="47"/>
        <v>4562.7986326398077</v>
      </c>
      <c r="I58" s="23">
        <f t="shared" si="47"/>
        <v>4699.6825916190019</v>
      </c>
      <c r="J58" s="23">
        <f t="shared" si="47"/>
        <v>4840.6730693675718</v>
      </c>
      <c r="K58" s="23">
        <f t="shared" si="47"/>
        <v>4985.8932614485993</v>
      </c>
      <c r="L58" s="23">
        <f t="shared" si="47"/>
        <v>5135.4700592920572</v>
      </c>
      <c r="M58" s="23">
        <f t="shared" si="47"/>
        <v>5289.5341610708192</v>
      </c>
      <c r="N58" s="38"/>
      <c r="O58" s="38"/>
      <c r="P58" s="254">
        <v>1750000</v>
      </c>
      <c r="Q58" s="255">
        <f t="shared" si="48"/>
        <v>103.82581840048078</v>
      </c>
      <c r="R58" s="256">
        <f t="shared" si="31"/>
        <v>2.3999999999999935E-2</v>
      </c>
      <c r="S58" s="255">
        <f t="shared" si="49"/>
        <v>132.89704755261573</v>
      </c>
      <c r="T58" s="257">
        <f t="shared" si="32"/>
        <v>2.9999999999999995E-2</v>
      </c>
      <c r="U58" s="258">
        <f t="shared" si="50"/>
        <v>236.72286595309652</v>
      </c>
      <c r="V58" s="259">
        <f t="shared" si="33"/>
        <v>5.4719999999999928E-2</v>
      </c>
      <c r="W58" s="255">
        <f t="shared" si="51"/>
        <v>136.88395897919418</v>
      </c>
      <c r="X58" s="256">
        <f t="shared" si="34"/>
        <v>2.9999999999999988E-2</v>
      </c>
      <c r="Y58" s="260">
        <f t="shared" si="52"/>
        <v>373.60682493229069</v>
      </c>
      <c r="Z58" s="259">
        <f t="shared" si="35"/>
        <v>8.6361599999999913E-2</v>
      </c>
      <c r="AA58" s="258">
        <f t="shared" si="53"/>
        <v>140.9904777485699</v>
      </c>
      <c r="AB58" s="256">
        <f t="shared" si="36"/>
        <v>2.9999999999999968E-2</v>
      </c>
      <c r="AC58" s="260">
        <f t="shared" si="54"/>
        <v>514.59730268086059</v>
      </c>
      <c r="AD58" s="261">
        <f t="shared" si="37"/>
        <v>0.11895244799999988</v>
      </c>
      <c r="AE58" s="262">
        <v>1750000</v>
      </c>
      <c r="AF58" s="38"/>
      <c r="AG58" s="38"/>
      <c r="AH58" s="263">
        <v>1750000</v>
      </c>
      <c r="AI58" s="255">
        <f t="shared" si="55"/>
        <v>145.22019208102756</v>
      </c>
      <c r="AJ58" s="257">
        <f t="shared" si="38"/>
        <v>3.0000000000000086E-2</v>
      </c>
      <c r="AK58" s="260">
        <f t="shared" si="56"/>
        <v>659.81749476188816</v>
      </c>
      <c r="AL58" s="259">
        <f t="shared" si="39"/>
        <v>0.15252102143999996</v>
      </c>
      <c r="AM58" s="258">
        <f t="shared" si="57"/>
        <v>149.57679784345783</v>
      </c>
      <c r="AN58" s="257">
        <f t="shared" si="40"/>
        <v>2.9999999999999968E-2</v>
      </c>
      <c r="AO58" s="260">
        <f t="shared" si="58"/>
        <v>809.39429260534598</v>
      </c>
      <c r="AP58" s="261">
        <f t="shared" si="41"/>
        <v>0.18709665208319992</v>
      </c>
      <c r="AQ58" s="255">
        <f t="shared" si="59"/>
        <v>154.06410177876205</v>
      </c>
      <c r="AR58" s="257">
        <f t="shared" si="42"/>
        <v>3.0000000000000065E-2</v>
      </c>
      <c r="AS58" s="260">
        <f t="shared" si="60"/>
        <v>963.45839438410803</v>
      </c>
      <c r="AT58" s="261">
        <f t="shared" si="43"/>
        <v>0.222709551645696</v>
      </c>
      <c r="AU58" s="340"/>
    </row>
    <row r="59" spans="1:47" ht="12.75" x14ac:dyDescent="0.2">
      <c r="A59" s="26"/>
      <c r="B59" s="38"/>
      <c r="C59" s="252" t="s">
        <v>392</v>
      </c>
      <c r="D59" s="354">
        <f t="shared" si="44"/>
        <v>19</v>
      </c>
      <c r="E59" s="253">
        <v>2500000</v>
      </c>
      <c r="F59" s="23">
        <f t="shared" si="45"/>
        <v>5972.2509904189255</v>
      </c>
      <c r="G59" s="23">
        <f t="shared" si="46"/>
        <v>6115.5850141889796</v>
      </c>
      <c r="H59" s="23">
        <f t="shared" si="47"/>
        <v>6299.0525646146489</v>
      </c>
      <c r="I59" s="23">
        <f t="shared" si="47"/>
        <v>6488.0241415530882</v>
      </c>
      <c r="J59" s="23">
        <f t="shared" si="47"/>
        <v>6682.6648657996811</v>
      </c>
      <c r="K59" s="23">
        <f t="shared" si="47"/>
        <v>6883.1448117736718</v>
      </c>
      <c r="L59" s="23">
        <f t="shared" si="47"/>
        <v>7089.639156126882</v>
      </c>
      <c r="M59" s="23">
        <f t="shared" si="47"/>
        <v>7302.3283308106884</v>
      </c>
      <c r="N59" s="38"/>
      <c r="O59" s="38"/>
      <c r="P59" s="254">
        <v>2500000</v>
      </c>
      <c r="Q59" s="255">
        <f t="shared" si="48"/>
        <v>143.33402377005405</v>
      </c>
      <c r="R59" s="256">
        <f t="shared" si="31"/>
        <v>2.3999999999999973E-2</v>
      </c>
      <c r="S59" s="255">
        <f t="shared" si="49"/>
        <v>183.46755042566929</v>
      </c>
      <c r="T59" s="257">
        <f t="shared" si="32"/>
        <v>2.9999999999999985E-2</v>
      </c>
      <c r="U59" s="258">
        <f t="shared" si="50"/>
        <v>326.80157419572333</v>
      </c>
      <c r="V59" s="259">
        <f t="shared" si="33"/>
        <v>5.4719999999999956E-2</v>
      </c>
      <c r="W59" s="255">
        <f t="shared" si="51"/>
        <v>188.97157693843928</v>
      </c>
      <c r="X59" s="256">
        <f t="shared" si="34"/>
        <v>2.9999999999999971E-2</v>
      </c>
      <c r="Y59" s="260">
        <f t="shared" si="52"/>
        <v>515.77315113416262</v>
      </c>
      <c r="Z59" s="259">
        <f t="shared" si="35"/>
        <v>8.6361599999999927E-2</v>
      </c>
      <c r="AA59" s="258">
        <f t="shared" si="53"/>
        <v>194.64072424659298</v>
      </c>
      <c r="AB59" s="256">
        <f t="shared" si="36"/>
        <v>3.0000000000000051E-2</v>
      </c>
      <c r="AC59" s="260">
        <f t="shared" si="54"/>
        <v>710.4138753807556</v>
      </c>
      <c r="AD59" s="261">
        <f t="shared" si="37"/>
        <v>0.11895244799999997</v>
      </c>
      <c r="AE59" s="262">
        <v>2500000</v>
      </c>
      <c r="AF59" s="38"/>
      <c r="AG59" s="38"/>
      <c r="AH59" s="263">
        <v>2500000</v>
      </c>
      <c r="AI59" s="255">
        <f t="shared" si="55"/>
        <v>200.47994597399065</v>
      </c>
      <c r="AJ59" s="257">
        <f t="shared" si="38"/>
        <v>3.0000000000000034E-2</v>
      </c>
      <c r="AK59" s="260">
        <f t="shared" si="56"/>
        <v>910.89382135474625</v>
      </c>
      <c r="AL59" s="259">
        <f t="shared" si="39"/>
        <v>0.15252102144000002</v>
      </c>
      <c r="AM59" s="258">
        <f t="shared" si="57"/>
        <v>206.49434435321018</v>
      </c>
      <c r="AN59" s="257">
        <f t="shared" si="40"/>
        <v>3.0000000000000002E-2</v>
      </c>
      <c r="AO59" s="260">
        <f t="shared" si="58"/>
        <v>1117.3881657079564</v>
      </c>
      <c r="AP59" s="261">
        <f t="shared" si="41"/>
        <v>0.1870966520832</v>
      </c>
      <c r="AQ59" s="255">
        <f t="shared" si="59"/>
        <v>212.68917468380641</v>
      </c>
      <c r="AR59" s="257">
        <f t="shared" si="42"/>
        <v>2.9999999999999992E-2</v>
      </c>
      <c r="AS59" s="260">
        <f t="shared" si="60"/>
        <v>1330.0773403917628</v>
      </c>
      <c r="AT59" s="261">
        <f t="shared" si="43"/>
        <v>0.222709551645696</v>
      </c>
      <c r="AU59" s="340"/>
    </row>
    <row r="60" spans="1:47" ht="13.5" thickBot="1" x14ac:dyDescent="0.25">
      <c r="A60" s="26"/>
      <c r="B60" s="38"/>
      <c r="C60" s="216" t="s">
        <v>15</v>
      </c>
      <c r="D60" s="355">
        <f t="shared" si="44"/>
        <v>5</v>
      </c>
      <c r="E60" s="264">
        <v>3000000</v>
      </c>
      <c r="F60" s="23">
        <f t="shared" si="45"/>
        <v>7069.7006772009026</v>
      </c>
      <c r="G60" s="23">
        <f t="shared" si="46"/>
        <v>7239.3734934537242</v>
      </c>
      <c r="H60" s="23">
        <f t="shared" si="47"/>
        <v>7456.554698257336</v>
      </c>
      <c r="I60" s="23">
        <f t="shared" si="47"/>
        <v>7680.251339205056</v>
      </c>
      <c r="J60" s="23">
        <f t="shared" si="47"/>
        <v>7910.658879381208</v>
      </c>
      <c r="K60" s="23">
        <f t="shared" si="47"/>
        <v>8147.9786457626442</v>
      </c>
      <c r="L60" s="23">
        <f t="shared" si="47"/>
        <v>8392.4180051355233</v>
      </c>
      <c r="M60" s="23">
        <f t="shared" si="47"/>
        <v>8644.1905452895899</v>
      </c>
      <c r="N60" s="38"/>
      <c r="O60" s="38"/>
      <c r="P60" s="265">
        <v>3000000</v>
      </c>
      <c r="Q60" s="266">
        <f t="shared" si="48"/>
        <v>169.67281625282158</v>
      </c>
      <c r="R60" s="267">
        <f t="shared" si="31"/>
        <v>2.3999999999999987E-2</v>
      </c>
      <c r="S60" s="266">
        <f t="shared" si="49"/>
        <v>217.18120480361176</v>
      </c>
      <c r="T60" s="268">
        <f t="shared" si="32"/>
        <v>3.0000000000000006E-2</v>
      </c>
      <c r="U60" s="269">
        <f t="shared" si="50"/>
        <v>386.85402105643334</v>
      </c>
      <c r="V60" s="270">
        <f t="shared" si="33"/>
        <v>5.4719999999999991E-2</v>
      </c>
      <c r="W60" s="266">
        <f t="shared" si="51"/>
        <v>223.69664094771997</v>
      </c>
      <c r="X60" s="267">
        <f t="shared" si="34"/>
        <v>2.9999999999999985E-2</v>
      </c>
      <c r="Y60" s="271">
        <f t="shared" si="52"/>
        <v>610.55066200415331</v>
      </c>
      <c r="Z60" s="270">
        <f t="shared" si="35"/>
        <v>8.6361599999999983E-2</v>
      </c>
      <c r="AA60" s="341">
        <f t="shared" si="53"/>
        <v>230.407540176152</v>
      </c>
      <c r="AB60" s="342">
        <f t="shared" si="36"/>
        <v>3.0000000000000041E-2</v>
      </c>
      <c r="AC60" s="343">
        <f t="shared" si="54"/>
        <v>840.95820218030531</v>
      </c>
      <c r="AD60" s="344">
        <f t="shared" si="37"/>
        <v>0.11895244800000002</v>
      </c>
      <c r="AE60" s="272">
        <v>3000000</v>
      </c>
      <c r="AF60" s="38"/>
      <c r="AG60" s="38"/>
      <c r="AH60" s="273">
        <v>3000000</v>
      </c>
      <c r="AI60" s="266">
        <f t="shared" si="55"/>
        <v>237.31976638143624</v>
      </c>
      <c r="AJ60" s="268">
        <f t="shared" si="38"/>
        <v>0.03</v>
      </c>
      <c r="AK60" s="271">
        <f t="shared" si="56"/>
        <v>1078.2779685617415</v>
      </c>
      <c r="AL60" s="270">
        <f t="shared" si="39"/>
        <v>0.15252102144000002</v>
      </c>
      <c r="AM60" s="269">
        <f t="shared" si="57"/>
        <v>244.43935937287915</v>
      </c>
      <c r="AN60" s="268">
        <f t="shared" si="40"/>
        <v>2.9999999999999978E-2</v>
      </c>
      <c r="AO60" s="271">
        <f t="shared" si="58"/>
        <v>1322.7173279346207</v>
      </c>
      <c r="AP60" s="274">
        <f t="shared" si="41"/>
        <v>0.1870966520832</v>
      </c>
      <c r="AQ60" s="266">
        <f t="shared" si="59"/>
        <v>251.77254015406652</v>
      </c>
      <c r="AR60" s="268">
        <f t="shared" si="42"/>
        <v>3.0000000000000096E-2</v>
      </c>
      <c r="AS60" s="271">
        <f t="shared" si="60"/>
        <v>1574.4898680886872</v>
      </c>
      <c r="AT60" s="274">
        <f t="shared" si="43"/>
        <v>0.22270955164569611</v>
      </c>
      <c r="AU60" s="340"/>
    </row>
    <row r="61" spans="1:47" ht="13.5" thickTop="1" x14ac:dyDescent="0.2">
      <c r="A61" s="26"/>
      <c r="B61" s="38"/>
      <c r="C61" s="338"/>
      <c r="D61" s="353"/>
      <c r="E61" s="276"/>
      <c r="F61" s="338"/>
      <c r="G61" s="338"/>
      <c r="H61" s="338"/>
      <c r="I61" s="338"/>
      <c r="J61" s="338"/>
      <c r="K61" s="338"/>
      <c r="L61" s="338"/>
      <c r="M61" s="338"/>
      <c r="N61" s="38"/>
      <c r="O61" s="38"/>
      <c r="P61" s="276"/>
      <c r="Q61" s="339"/>
      <c r="R61" s="340"/>
      <c r="S61" s="339"/>
      <c r="T61" s="340"/>
      <c r="U61" s="339"/>
      <c r="V61" s="340"/>
      <c r="W61" s="339"/>
      <c r="X61" s="340"/>
      <c r="Y61" s="339"/>
      <c r="Z61" s="340"/>
      <c r="AA61" s="345"/>
      <c r="AB61" s="346"/>
      <c r="AC61" s="345"/>
      <c r="AD61" s="346"/>
      <c r="AE61" s="276"/>
      <c r="AF61" s="38"/>
      <c r="AG61" s="38"/>
      <c r="AH61" s="276"/>
      <c r="AI61" s="339"/>
      <c r="AJ61" s="340"/>
      <c r="AK61" s="339"/>
      <c r="AL61" s="340"/>
      <c r="AM61" s="339"/>
      <c r="AN61" s="340"/>
      <c r="AO61" s="339"/>
      <c r="AP61" s="340"/>
      <c r="AQ61" s="339"/>
      <c r="AR61" s="340"/>
      <c r="AS61" s="339"/>
      <c r="AT61" s="340"/>
      <c r="AU61" s="340"/>
    </row>
    <row r="62" spans="1:47" x14ac:dyDescent="0.2">
      <c r="A62" s="26"/>
      <c r="B62" s="38"/>
      <c r="C62" s="38"/>
      <c r="D62" s="38"/>
      <c r="E62" s="222"/>
      <c r="F62" s="38"/>
      <c r="G62" s="38"/>
      <c r="H62" s="38"/>
      <c r="I62" s="38"/>
      <c r="J62" s="38"/>
      <c r="K62" s="38"/>
      <c r="L62" s="38"/>
      <c r="M62" s="38"/>
      <c r="N62" s="38"/>
      <c r="O62" s="38"/>
      <c r="P62" s="38"/>
      <c r="Q62" s="38"/>
      <c r="R62" s="38"/>
      <c r="S62" s="38"/>
      <c r="T62" s="38"/>
      <c r="U62" s="38"/>
      <c r="V62" s="38"/>
      <c r="W62" s="38"/>
      <c r="X62" s="38"/>
      <c r="Y62" s="38"/>
      <c r="Z62" s="38"/>
      <c r="AA62" s="38"/>
      <c r="AB62" s="38"/>
      <c r="AC62" s="38"/>
      <c r="AD62" s="32"/>
      <c r="AE62" s="32"/>
      <c r="AF62" s="32"/>
      <c r="AG62" s="38"/>
      <c r="AH62" s="38"/>
      <c r="AI62" s="38"/>
      <c r="AJ62" s="38"/>
      <c r="AK62" s="38"/>
      <c r="AL62" s="38"/>
      <c r="AM62" s="38"/>
      <c r="AN62" s="38"/>
      <c r="AO62" s="38"/>
      <c r="AP62" s="38"/>
      <c r="AQ62" s="38"/>
      <c r="AR62" s="38"/>
      <c r="AS62" s="38"/>
      <c r="AT62" s="32"/>
      <c r="AU62" s="38"/>
    </row>
    <row r="63" spans="1:47" ht="15.75" x14ac:dyDescent="0.25">
      <c r="A63" s="26"/>
      <c r="B63" s="38"/>
      <c r="C63" s="84" t="s">
        <v>379</v>
      </c>
      <c r="D63" s="38"/>
      <c r="E63" s="222"/>
      <c r="F63" s="38"/>
      <c r="G63" s="38"/>
      <c r="H63" s="38"/>
      <c r="I63" s="38"/>
      <c r="J63" s="38"/>
      <c r="K63" s="38"/>
      <c r="L63" s="38"/>
      <c r="M63" s="38"/>
      <c r="N63" s="38"/>
      <c r="O63" s="38"/>
      <c r="P63" s="84" t="s">
        <v>379</v>
      </c>
      <c r="Q63" s="38"/>
      <c r="R63" s="38"/>
      <c r="S63" s="38"/>
      <c r="T63" s="38"/>
      <c r="U63" s="38"/>
      <c r="V63" s="38"/>
      <c r="W63" s="38"/>
      <c r="X63" s="38"/>
      <c r="Y63" s="38"/>
      <c r="Z63" s="38"/>
      <c r="AA63" s="38"/>
      <c r="AB63" s="38"/>
      <c r="AC63" s="38"/>
      <c r="AD63" s="38"/>
      <c r="AE63" s="38"/>
      <c r="AF63" s="38"/>
      <c r="AG63" s="38"/>
      <c r="AH63" s="84" t="s">
        <v>379</v>
      </c>
      <c r="AI63" s="38"/>
      <c r="AJ63" s="38"/>
      <c r="AK63" s="38"/>
      <c r="AL63" s="38"/>
      <c r="AM63" s="38"/>
      <c r="AN63" s="38"/>
      <c r="AO63" s="38"/>
      <c r="AP63" s="38"/>
      <c r="AQ63" s="38"/>
      <c r="AR63" s="38"/>
      <c r="AS63" s="38"/>
      <c r="AT63" s="38"/>
      <c r="AU63" s="38"/>
    </row>
    <row r="64" spans="1:47" ht="4.5" customHeight="1" thickBot="1" x14ac:dyDescent="0.3">
      <c r="A64" s="26"/>
      <c r="B64" s="38"/>
      <c r="C64" s="84"/>
      <c r="D64" s="38"/>
      <c r="E64" s="222"/>
      <c r="F64" s="38"/>
      <c r="G64" s="38"/>
      <c r="H64" s="38"/>
      <c r="I64" s="38"/>
      <c r="J64" s="38"/>
      <c r="K64" s="38"/>
      <c r="L64" s="38"/>
      <c r="M64" s="38"/>
      <c r="N64" s="38"/>
      <c r="O64" s="38"/>
      <c r="P64" s="38"/>
      <c r="Q64" s="277"/>
      <c r="R64" s="277"/>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row>
    <row r="65" spans="1:47" ht="17.25" thickTop="1" thickBot="1" x14ac:dyDescent="0.3">
      <c r="A65" s="26"/>
      <c r="B65" s="38"/>
      <c r="C65" s="38"/>
      <c r="D65" s="38"/>
      <c r="E65" s="222"/>
      <c r="F65" s="226"/>
      <c r="G65" s="227"/>
      <c r="H65" s="814" t="s">
        <v>402</v>
      </c>
      <c r="I65" s="815"/>
      <c r="J65" s="815"/>
      <c r="K65" s="815"/>
      <c r="L65" s="815"/>
      <c r="M65" s="816"/>
      <c r="N65" s="38"/>
      <c r="O65" s="38"/>
      <c r="P65" s="38"/>
      <c r="Q65" s="820" t="s">
        <v>906</v>
      </c>
      <c r="R65" s="821"/>
      <c r="S65" s="821"/>
      <c r="T65" s="821"/>
      <c r="U65" s="821"/>
      <c r="V65" s="821"/>
      <c r="W65" s="821"/>
      <c r="X65" s="821"/>
      <c r="Y65" s="821"/>
      <c r="Z65" s="821"/>
      <c r="AA65" s="821"/>
      <c r="AB65" s="821"/>
      <c r="AC65" s="821"/>
      <c r="AD65" s="822"/>
      <c r="AE65" s="228"/>
      <c r="AF65" s="38"/>
      <c r="AG65" s="38"/>
      <c r="AH65" s="820" t="s">
        <v>906</v>
      </c>
      <c r="AI65" s="821"/>
      <c r="AJ65" s="821"/>
      <c r="AK65" s="821"/>
      <c r="AL65" s="821"/>
      <c r="AM65" s="821"/>
      <c r="AN65" s="821"/>
      <c r="AO65" s="821"/>
      <c r="AP65" s="821"/>
      <c r="AQ65" s="821"/>
      <c r="AR65" s="821"/>
      <c r="AS65" s="821"/>
      <c r="AT65" s="822"/>
      <c r="AU65" s="352"/>
    </row>
    <row r="66" spans="1:47" ht="54" customHeight="1" thickTop="1" x14ac:dyDescent="0.2">
      <c r="A66" s="26"/>
      <c r="B66" s="38"/>
      <c r="C66" s="230" t="s">
        <v>389</v>
      </c>
      <c r="D66" s="834" t="s">
        <v>888</v>
      </c>
      <c r="E66" s="231" t="s">
        <v>393</v>
      </c>
      <c r="F66" s="232" t="s">
        <v>410</v>
      </c>
      <c r="G66" s="233" t="s">
        <v>919</v>
      </c>
      <c r="H66" s="233" t="s">
        <v>920</v>
      </c>
      <c r="I66" s="233" t="s">
        <v>921</v>
      </c>
      <c r="J66" s="233" t="s">
        <v>922</v>
      </c>
      <c r="K66" s="233" t="s">
        <v>923</v>
      </c>
      <c r="L66" s="233" t="s">
        <v>924</v>
      </c>
      <c r="M66" s="234" t="s">
        <v>925</v>
      </c>
      <c r="N66" s="38"/>
      <c r="O66" s="38"/>
      <c r="P66" s="235" t="s">
        <v>393</v>
      </c>
      <c r="Q66" s="837" t="s">
        <v>394</v>
      </c>
      <c r="R66" s="826"/>
      <c r="S66" s="831" t="s">
        <v>395</v>
      </c>
      <c r="T66" s="832"/>
      <c r="U66" s="832"/>
      <c r="V66" s="833"/>
      <c r="W66" s="794" t="s">
        <v>396</v>
      </c>
      <c r="X66" s="826"/>
      <c r="Y66" s="826"/>
      <c r="Z66" s="826"/>
      <c r="AA66" s="831" t="s">
        <v>397</v>
      </c>
      <c r="AB66" s="832"/>
      <c r="AC66" s="832"/>
      <c r="AD66" s="836"/>
      <c r="AE66" s="278" t="s">
        <v>393</v>
      </c>
      <c r="AF66" s="38"/>
      <c r="AG66" s="38"/>
      <c r="AH66" s="238" t="s">
        <v>393</v>
      </c>
      <c r="AI66" s="831" t="s">
        <v>398</v>
      </c>
      <c r="AJ66" s="832"/>
      <c r="AK66" s="832"/>
      <c r="AL66" s="833"/>
      <c r="AM66" s="831" t="s">
        <v>399</v>
      </c>
      <c r="AN66" s="832"/>
      <c r="AO66" s="832"/>
      <c r="AP66" s="833"/>
      <c r="AQ66" s="794" t="s">
        <v>400</v>
      </c>
      <c r="AR66" s="826"/>
      <c r="AS66" s="826"/>
      <c r="AT66" s="827"/>
      <c r="AU66" s="236"/>
    </row>
    <row r="67" spans="1:47" ht="12.75" x14ac:dyDescent="0.2">
      <c r="A67" s="26"/>
      <c r="B67" s="38"/>
      <c r="C67" s="239"/>
      <c r="D67" s="835"/>
      <c r="E67" s="240"/>
      <c r="F67" s="160" t="str">
        <f>'WK5a - Impact on Rates'!E57</f>
        <v>2014/15</v>
      </c>
      <c r="G67" s="160" t="str">
        <f>'WK5a - Impact on Rates'!F57</f>
        <v>2015/16</v>
      </c>
      <c r="H67" s="160" t="str">
        <f>'WK5a - Impact on Rates'!G57</f>
        <v>2016/17</v>
      </c>
      <c r="I67" s="160" t="str">
        <f>'WK5a - Impact on Rates'!H57</f>
        <v>2017/18</v>
      </c>
      <c r="J67" s="160" t="str">
        <f>'WK5a - Impact on Rates'!I57</f>
        <v>2018/19</v>
      </c>
      <c r="K67" s="160" t="str">
        <f>'WK5a - Impact on Rates'!J57</f>
        <v>2019/20</v>
      </c>
      <c r="L67" s="160" t="str">
        <f>'WK5a - Impact on Rates'!K57</f>
        <v>2020/21</v>
      </c>
      <c r="M67" s="182" t="str">
        <f>'WK5a - Impact on Rates'!L57</f>
        <v>2021/22</v>
      </c>
      <c r="N67" s="38"/>
      <c r="O67" s="38"/>
      <c r="P67" s="241" t="s">
        <v>129</v>
      </c>
      <c r="Q67" s="242" t="s">
        <v>102</v>
      </c>
      <c r="R67" s="243" t="s">
        <v>125</v>
      </c>
      <c r="S67" s="242" t="s">
        <v>102</v>
      </c>
      <c r="T67" s="247" t="s">
        <v>125</v>
      </c>
      <c r="U67" s="244" t="s">
        <v>103</v>
      </c>
      <c r="V67" s="246" t="s">
        <v>125</v>
      </c>
      <c r="W67" s="245" t="s">
        <v>102</v>
      </c>
      <c r="X67" s="247" t="s">
        <v>125</v>
      </c>
      <c r="Y67" s="244" t="s">
        <v>103</v>
      </c>
      <c r="Z67" s="243" t="s">
        <v>125</v>
      </c>
      <c r="AA67" s="242" t="s">
        <v>102</v>
      </c>
      <c r="AB67" s="247" t="s">
        <v>125</v>
      </c>
      <c r="AC67" s="244" t="s">
        <v>103</v>
      </c>
      <c r="AD67" s="248" t="s">
        <v>125</v>
      </c>
      <c r="AE67" s="279"/>
      <c r="AF67" s="38"/>
      <c r="AG67" s="38"/>
      <c r="AH67" s="250" t="s">
        <v>129</v>
      </c>
      <c r="AI67" s="242" t="s">
        <v>102</v>
      </c>
      <c r="AJ67" s="247" t="s">
        <v>125</v>
      </c>
      <c r="AK67" s="244" t="s">
        <v>103</v>
      </c>
      <c r="AL67" s="246" t="s">
        <v>125</v>
      </c>
      <c r="AM67" s="242" t="s">
        <v>102</v>
      </c>
      <c r="AN67" s="247" t="s">
        <v>125</v>
      </c>
      <c r="AO67" s="244" t="s">
        <v>103</v>
      </c>
      <c r="AP67" s="246" t="s">
        <v>125</v>
      </c>
      <c r="AQ67" s="245" t="s">
        <v>102</v>
      </c>
      <c r="AR67" s="247" t="s">
        <v>125</v>
      </c>
      <c r="AS67" s="244" t="s">
        <v>103</v>
      </c>
      <c r="AT67" s="248" t="s">
        <v>125</v>
      </c>
      <c r="AU67" s="351"/>
    </row>
    <row r="68" spans="1:47" ht="12.75" x14ac:dyDescent="0.2">
      <c r="A68" s="26"/>
      <c r="B68" s="38"/>
      <c r="C68" s="252" t="s">
        <v>14</v>
      </c>
      <c r="D68" s="23">
        <v>587</v>
      </c>
      <c r="E68" s="253">
        <v>50000</v>
      </c>
      <c r="F68" s="23">
        <v>466.13841317893468</v>
      </c>
      <c r="G68" s="23">
        <f>+F68*1.024</f>
        <v>477.32573509522911</v>
      </c>
      <c r="H68" s="23">
        <f t="shared" ref="H68:M68" si="61">+G68*1.03</f>
        <v>491.64550714808598</v>
      </c>
      <c r="I68" s="23">
        <f t="shared" si="61"/>
        <v>506.39487236252859</v>
      </c>
      <c r="J68" s="23">
        <f t="shared" si="61"/>
        <v>521.58671853340445</v>
      </c>
      <c r="K68" s="23">
        <f t="shared" si="61"/>
        <v>537.23432008940665</v>
      </c>
      <c r="L68" s="23">
        <f t="shared" si="61"/>
        <v>553.35134969208889</v>
      </c>
      <c r="M68" s="23">
        <f t="shared" si="61"/>
        <v>569.95189018285157</v>
      </c>
      <c r="N68" s="38"/>
      <c r="O68" s="38"/>
      <c r="P68" s="254">
        <v>50000</v>
      </c>
      <c r="Q68" s="255">
        <f>IF(G68="","",IF(F68=0,"",G68-F68))</f>
        <v>11.187321916294422</v>
      </c>
      <c r="R68" s="256">
        <f t="shared" ref="R68:R81" si="62">IF(Q68="","",Q68/F68)</f>
        <v>2.399999999999998E-2</v>
      </c>
      <c r="S68" s="255">
        <f>IF(H68="","",IF(G68=0,"",H68-G68))</f>
        <v>14.319772052856877</v>
      </c>
      <c r="T68" s="256">
        <f t="shared" ref="T68:T81" si="63">IF(S68="","",S68/G68)</f>
        <v>3.0000000000000006E-2</v>
      </c>
      <c r="U68" s="260">
        <f>IF(S68="","",S68+Q68)</f>
        <v>25.507093969151299</v>
      </c>
      <c r="V68" s="259">
        <f t="shared" ref="V68:V81" si="64">IF(T68="","",U68/F68)</f>
        <v>5.4719999999999984E-2</v>
      </c>
      <c r="W68" s="258">
        <f>IF(I68="","",IF(H68=0,"",I68-H68))</f>
        <v>14.749365214442605</v>
      </c>
      <c r="X68" s="256">
        <f t="shared" ref="X68:X81" si="65">IF(W68="","",W68/H68)</f>
        <v>3.0000000000000051E-2</v>
      </c>
      <c r="Y68" s="260">
        <f>IF(W68="","",W68+U68)</f>
        <v>40.256459183593904</v>
      </c>
      <c r="Z68" s="256">
        <f t="shared" ref="Z68:Z81" si="66">IF(X68="","",Y68/F68)</f>
        <v>8.6361600000000038E-2</v>
      </c>
      <c r="AA68" s="255">
        <f>IF(J68="","",IF(I68=0,"",J68-I68))</f>
        <v>15.191846170875863</v>
      </c>
      <c r="AB68" s="256">
        <f t="shared" ref="AB68:AB81" si="67">IF(AA68="","",AA68/I68)</f>
        <v>3.0000000000000009E-2</v>
      </c>
      <c r="AC68" s="260">
        <f>IF(AA68="","",AA68+Y68)</f>
        <v>55.448305354469767</v>
      </c>
      <c r="AD68" s="261">
        <f t="shared" ref="AD68:AD81" si="68">IF(AB68="","",AC68/F68)</f>
        <v>0.11895244800000006</v>
      </c>
      <c r="AE68" s="280">
        <v>50000</v>
      </c>
      <c r="AF68" s="38"/>
      <c r="AG68" s="38"/>
      <c r="AH68" s="263">
        <v>50000</v>
      </c>
      <c r="AI68" s="255">
        <f>IF(K68="","",IF(J68=0,"",K68-J68))</f>
        <v>15.647601556002201</v>
      </c>
      <c r="AJ68" s="256">
        <f t="shared" ref="AJ68:AJ81" si="69">IF(AI68="","",AI68/J68)</f>
        <v>3.0000000000000127E-2</v>
      </c>
      <c r="AK68" s="260">
        <f t="shared" ref="AK68:AK81" si="70">IF(AI68="","",AI68+AC68)</f>
        <v>71.095906910471967</v>
      </c>
      <c r="AL68" s="259">
        <f t="shared" ref="AL68:AL81" si="71">IF(AK68="","",AK68/F68)</f>
        <v>0.15252102144000021</v>
      </c>
      <c r="AM68" s="255">
        <f>IF(L68="","",IF(K68=0,"",L68-K68))</f>
        <v>16.117029602682237</v>
      </c>
      <c r="AN68" s="256">
        <f t="shared" ref="AN68:AN81" si="72">IF(AM68="","",AM68/K68)</f>
        <v>3.0000000000000068E-2</v>
      </c>
      <c r="AO68" s="260">
        <f t="shared" ref="AO68:AO81" si="73">IF(AM68="","",AM68+AK68)</f>
        <v>87.212936513154204</v>
      </c>
      <c r="AP68" s="259">
        <f t="shared" ref="AP68:AP81" si="74">IF(AO68="","",AO68/F68)</f>
        <v>0.18709665208320028</v>
      </c>
      <c r="AQ68" s="258">
        <f>IF(M68="","",IF(L68=0,"",M68-L68))</f>
        <v>16.600540490762683</v>
      </c>
      <c r="AR68" s="257">
        <f t="shared" ref="AR68:AR81" si="75">IF(AQ68="","",AQ68/L68)</f>
        <v>3.000000000000003E-2</v>
      </c>
      <c r="AS68" s="258">
        <f t="shared" ref="AS68:AS81" si="76">IF(AQ68="","",AQ68+AO68)</f>
        <v>103.81347700391689</v>
      </c>
      <c r="AT68" s="261">
        <f t="shared" ref="AT68:AT81" si="77">IF(AS68="","",AS68/F68)</f>
        <v>0.22270955164569634</v>
      </c>
      <c r="AU68" s="340"/>
    </row>
    <row r="69" spans="1:47" ht="12.75" x14ac:dyDescent="0.2">
      <c r="A69" s="26"/>
      <c r="B69" s="38"/>
      <c r="C69" s="252" t="s">
        <v>380</v>
      </c>
      <c r="D69" s="177">
        <v>471</v>
      </c>
      <c r="E69" s="253">
        <v>150000</v>
      </c>
      <c r="F69" s="23">
        <v>1028.5158673470394</v>
      </c>
      <c r="G69" s="23">
        <f t="shared" ref="G69:G81" si="78">+F69*1.024</f>
        <v>1053.2002481633683</v>
      </c>
      <c r="H69" s="23">
        <f t="shared" ref="H69:M81" si="79">+G69*1.03</f>
        <v>1084.7962556082693</v>
      </c>
      <c r="I69" s="23">
        <f t="shared" si="79"/>
        <v>1117.3401432765174</v>
      </c>
      <c r="J69" s="23">
        <f t="shared" si="79"/>
        <v>1150.860347574813</v>
      </c>
      <c r="K69" s="23">
        <f t="shared" si="79"/>
        <v>1185.3861580020573</v>
      </c>
      <c r="L69" s="23">
        <f t="shared" si="79"/>
        <v>1220.9477427421191</v>
      </c>
      <c r="M69" s="23">
        <f t="shared" si="79"/>
        <v>1257.5761750243828</v>
      </c>
      <c r="N69" s="38"/>
      <c r="O69" s="38"/>
      <c r="P69" s="254">
        <v>150000</v>
      </c>
      <c r="Q69" s="255">
        <f t="shared" ref="Q69:Q81" si="80">IF(G69="","",IF(F69=0,"",G69-F69))</f>
        <v>24.68438081632894</v>
      </c>
      <c r="R69" s="256">
        <f t="shared" si="62"/>
        <v>2.3999999999999994E-2</v>
      </c>
      <c r="S69" s="255">
        <f t="shared" ref="S69:S81" si="81">IF(H69="","",IF(G69=0,"",H69-G69))</f>
        <v>31.596007444901034</v>
      </c>
      <c r="T69" s="256">
        <f t="shared" si="63"/>
        <v>2.9999999999999985E-2</v>
      </c>
      <c r="U69" s="260">
        <f t="shared" ref="U69:U81" si="82">IF(S69="","",S69+Q69)</f>
        <v>56.280388261229973</v>
      </c>
      <c r="V69" s="259">
        <f t="shared" si="64"/>
        <v>5.4719999999999977E-2</v>
      </c>
      <c r="W69" s="258">
        <f t="shared" ref="W69:W81" si="83">IF(I69="","",IF(H69=0,"",I69-H69))</f>
        <v>32.54388766824809</v>
      </c>
      <c r="X69" s="256">
        <f t="shared" si="65"/>
        <v>3.0000000000000009E-2</v>
      </c>
      <c r="Y69" s="260">
        <f t="shared" ref="Y69:Y81" si="84">IF(W69="","",W69+U69)</f>
        <v>88.824275929478063</v>
      </c>
      <c r="Z69" s="256">
        <f t="shared" si="66"/>
        <v>8.6361599999999983E-2</v>
      </c>
      <c r="AA69" s="255">
        <f t="shared" ref="AA69:AA81" si="85">IF(J69="","",IF(I69=0,"",J69-I69))</f>
        <v>33.520204298295539</v>
      </c>
      <c r="AB69" s="256">
        <f t="shared" si="67"/>
        <v>3.0000000000000013E-2</v>
      </c>
      <c r="AC69" s="260">
        <f t="shared" ref="AC69:AC81" si="86">IF(AA69="","",AA69+Y69)</f>
        <v>122.3444802277736</v>
      </c>
      <c r="AD69" s="261">
        <f t="shared" si="68"/>
        <v>0.118952448</v>
      </c>
      <c r="AE69" s="280">
        <v>150000</v>
      </c>
      <c r="AF69" s="38"/>
      <c r="AG69" s="38"/>
      <c r="AH69" s="263">
        <v>150000</v>
      </c>
      <c r="AI69" s="255">
        <f t="shared" ref="AI69:AI81" si="87">IF(K69="","",IF(J69=0,"",K69-J69))</f>
        <v>34.525810427244323</v>
      </c>
      <c r="AJ69" s="256">
        <f t="shared" si="69"/>
        <v>2.9999999999999943E-2</v>
      </c>
      <c r="AK69" s="260">
        <f t="shared" si="70"/>
        <v>156.87029065501793</v>
      </c>
      <c r="AL69" s="259">
        <f t="shared" si="71"/>
        <v>0.15252102143999993</v>
      </c>
      <c r="AM69" s="255">
        <f t="shared" ref="AM69:AM81" si="88">IF(L69="","",IF(K69=0,"",L69-K69))</f>
        <v>35.561584740061789</v>
      </c>
      <c r="AN69" s="256">
        <f t="shared" si="72"/>
        <v>3.0000000000000058E-2</v>
      </c>
      <c r="AO69" s="260">
        <f t="shared" si="73"/>
        <v>192.43187539507971</v>
      </c>
      <c r="AP69" s="259">
        <f t="shared" si="74"/>
        <v>0.1870966520832</v>
      </c>
      <c r="AQ69" s="258">
        <f t="shared" ref="AQ69:AQ81" si="89">IF(M69="","",IF(L69=0,"",M69-L69))</f>
        <v>36.628432282263702</v>
      </c>
      <c r="AR69" s="257">
        <f t="shared" si="75"/>
        <v>3.0000000000000106E-2</v>
      </c>
      <c r="AS69" s="258">
        <f t="shared" si="76"/>
        <v>229.06030767734342</v>
      </c>
      <c r="AT69" s="261">
        <f t="shared" si="77"/>
        <v>0.22270955164569614</v>
      </c>
      <c r="AU69" s="340"/>
    </row>
    <row r="70" spans="1:47" ht="12.75" x14ac:dyDescent="0.2">
      <c r="A70" s="26"/>
      <c r="B70" s="38"/>
      <c r="C70" s="252" t="s">
        <v>381</v>
      </c>
      <c r="D70" s="177">
        <v>463</v>
      </c>
      <c r="E70" s="253">
        <v>250000</v>
      </c>
      <c r="F70" s="23">
        <v>1534.0346924784105</v>
      </c>
      <c r="G70" s="23">
        <f t="shared" si="78"/>
        <v>1570.8515250978924</v>
      </c>
      <c r="H70" s="23">
        <f t="shared" si="79"/>
        <v>1617.9770708508293</v>
      </c>
      <c r="I70" s="23">
        <f t="shared" si="79"/>
        <v>1666.5163829763542</v>
      </c>
      <c r="J70" s="23">
        <f t="shared" si="79"/>
        <v>1716.511874465645</v>
      </c>
      <c r="K70" s="23">
        <f t="shared" si="79"/>
        <v>1768.0072306996144</v>
      </c>
      <c r="L70" s="23">
        <f t="shared" si="79"/>
        <v>1821.047447620603</v>
      </c>
      <c r="M70" s="23">
        <f t="shared" si="79"/>
        <v>1875.678871049221</v>
      </c>
      <c r="N70" s="38"/>
      <c r="O70" s="38"/>
      <c r="P70" s="254">
        <v>250000</v>
      </c>
      <c r="Q70" s="255">
        <f t="shared" si="80"/>
        <v>36.816832619481829</v>
      </c>
      <c r="R70" s="256">
        <f t="shared" si="62"/>
        <v>2.3999999999999983E-2</v>
      </c>
      <c r="S70" s="255">
        <f t="shared" si="81"/>
        <v>47.125545752936887</v>
      </c>
      <c r="T70" s="256">
        <f t="shared" si="63"/>
        <v>3.0000000000000075E-2</v>
      </c>
      <c r="U70" s="260">
        <f t="shared" si="82"/>
        <v>83.942378372418716</v>
      </c>
      <c r="V70" s="259">
        <f t="shared" si="64"/>
        <v>5.472000000000006E-2</v>
      </c>
      <c r="W70" s="258">
        <f t="shared" si="83"/>
        <v>48.53931212552493</v>
      </c>
      <c r="X70" s="256">
        <f t="shared" si="65"/>
        <v>3.0000000000000034E-2</v>
      </c>
      <c r="Y70" s="260">
        <f t="shared" si="84"/>
        <v>132.48169049794365</v>
      </c>
      <c r="Z70" s="256">
        <f t="shared" si="66"/>
        <v>8.6361600000000094E-2</v>
      </c>
      <c r="AA70" s="255">
        <f t="shared" si="85"/>
        <v>49.995491489290771</v>
      </c>
      <c r="AB70" s="256">
        <f t="shared" si="67"/>
        <v>3.0000000000000086E-2</v>
      </c>
      <c r="AC70" s="260">
        <f t="shared" si="86"/>
        <v>182.47718198723442</v>
      </c>
      <c r="AD70" s="261">
        <f t="shared" si="68"/>
        <v>0.1189524480000002</v>
      </c>
      <c r="AE70" s="280">
        <v>250000</v>
      </c>
      <c r="AF70" s="38"/>
      <c r="AG70" s="38"/>
      <c r="AH70" s="263">
        <v>250000</v>
      </c>
      <c r="AI70" s="255">
        <f t="shared" si="87"/>
        <v>51.49535623396946</v>
      </c>
      <c r="AJ70" s="256">
        <f t="shared" si="69"/>
        <v>3.0000000000000065E-2</v>
      </c>
      <c r="AK70" s="260">
        <f t="shared" si="70"/>
        <v>233.97253822120388</v>
      </c>
      <c r="AL70" s="259">
        <f t="shared" si="71"/>
        <v>0.15252102144000027</v>
      </c>
      <c r="AM70" s="255">
        <f t="shared" si="88"/>
        <v>53.040216920988541</v>
      </c>
      <c r="AN70" s="256">
        <f t="shared" si="72"/>
        <v>3.0000000000000061E-2</v>
      </c>
      <c r="AO70" s="260">
        <f t="shared" si="73"/>
        <v>287.01275514219242</v>
      </c>
      <c r="AP70" s="259">
        <f t="shared" si="74"/>
        <v>0.18709665208320034</v>
      </c>
      <c r="AQ70" s="258">
        <f t="shared" si="89"/>
        <v>54.631423428618064</v>
      </c>
      <c r="AR70" s="257">
        <f t="shared" si="75"/>
        <v>2.9999999999999985E-2</v>
      </c>
      <c r="AS70" s="258">
        <f t="shared" si="76"/>
        <v>341.64417857081048</v>
      </c>
      <c r="AT70" s="261">
        <f t="shared" si="77"/>
        <v>0.22270955164569634</v>
      </c>
      <c r="AU70" s="340"/>
    </row>
    <row r="71" spans="1:47" ht="12.75" x14ac:dyDescent="0.2">
      <c r="A71" s="26"/>
      <c r="B71" s="38"/>
      <c r="C71" s="252" t="s">
        <v>382</v>
      </c>
      <c r="D71" s="177">
        <v>241</v>
      </c>
      <c r="E71" s="253">
        <v>350000</v>
      </c>
      <c r="F71" s="23">
        <v>1961.067374793616</v>
      </c>
      <c r="G71" s="23">
        <f t="shared" si="78"/>
        <v>2008.1329917886628</v>
      </c>
      <c r="H71" s="23">
        <f t="shared" si="79"/>
        <v>2068.3769815423229</v>
      </c>
      <c r="I71" s="23">
        <f t="shared" si="79"/>
        <v>2130.4282909885928</v>
      </c>
      <c r="J71" s="23">
        <f t="shared" si="79"/>
        <v>2194.3411397182508</v>
      </c>
      <c r="K71" s="23">
        <f t="shared" si="79"/>
        <v>2260.1713739097986</v>
      </c>
      <c r="L71" s="23">
        <f t="shared" si="79"/>
        <v>2327.9765151270926</v>
      </c>
      <c r="M71" s="23">
        <f t="shared" si="79"/>
        <v>2397.8158105809057</v>
      </c>
      <c r="N71" s="38"/>
      <c r="O71" s="38"/>
      <c r="P71" s="254">
        <v>350000</v>
      </c>
      <c r="Q71" s="255">
        <f t="shared" si="80"/>
        <v>47.065616995046867</v>
      </c>
      <c r="R71" s="256">
        <f t="shared" si="62"/>
        <v>2.4000000000000042E-2</v>
      </c>
      <c r="S71" s="255">
        <f t="shared" si="81"/>
        <v>60.243989753660117</v>
      </c>
      <c r="T71" s="256">
        <f t="shared" si="63"/>
        <v>3.0000000000000117E-2</v>
      </c>
      <c r="U71" s="260">
        <f t="shared" si="82"/>
        <v>107.30960674870698</v>
      </c>
      <c r="V71" s="259">
        <f t="shared" si="64"/>
        <v>5.4720000000000164E-2</v>
      </c>
      <c r="W71" s="258">
        <f t="shared" si="83"/>
        <v>62.051309446269897</v>
      </c>
      <c r="X71" s="256">
        <f t="shared" si="65"/>
        <v>3.00000000000001E-2</v>
      </c>
      <c r="Y71" s="260">
        <f t="shared" si="84"/>
        <v>169.36091619497688</v>
      </c>
      <c r="Z71" s="256">
        <f t="shared" si="66"/>
        <v>8.6361600000000274E-2</v>
      </c>
      <c r="AA71" s="255">
        <f t="shared" si="85"/>
        <v>63.912848729657981</v>
      </c>
      <c r="AB71" s="256">
        <f t="shared" si="67"/>
        <v>3.0000000000000093E-2</v>
      </c>
      <c r="AC71" s="260">
        <f t="shared" si="86"/>
        <v>233.27376492463486</v>
      </c>
      <c r="AD71" s="261">
        <f t="shared" si="68"/>
        <v>0.11895244800000038</v>
      </c>
      <c r="AE71" s="280">
        <v>350000</v>
      </c>
      <c r="AF71" s="38"/>
      <c r="AG71" s="38"/>
      <c r="AH71" s="263">
        <v>350000</v>
      </c>
      <c r="AI71" s="255">
        <f t="shared" si="87"/>
        <v>65.830234191547788</v>
      </c>
      <c r="AJ71" s="256">
        <f t="shared" si="69"/>
        <v>3.000000000000012E-2</v>
      </c>
      <c r="AK71" s="260">
        <f t="shared" si="70"/>
        <v>299.10399911618265</v>
      </c>
      <c r="AL71" s="259">
        <f t="shared" si="71"/>
        <v>0.15252102144000051</v>
      </c>
      <c r="AM71" s="255">
        <f t="shared" si="88"/>
        <v>67.805141217294022</v>
      </c>
      <c r="AN71" s="256">
        <f t="shared" si="72"/>
        <v>3.0000000000000027E-2</v>
      </c>
      <c r="AO71" s="260">
        <f t="shared" si="73"/>
        <v>366.90914033347667</v>
      </c>
      <c r="AP71" s="259">
        <f t="shared" si="74"/>
        <v>0.18709665208320059</v>
      </c>
      <c r="AQ71" s="258">
        <f t="shared" si="89"/>
        <v>69.839295453813065</v>
      </c>
      <c r="AR71" s="257">
        <f t="shared" si="75"/>
        <v>3.0000000000000124E-2</v>
      </c>
      <c r="AS71" s="258">
        <f t="shared" si="76"/>
        <v>436.74843578728974</v>
      </c>
      <c r="AT71" s="261">
        <f t="shared" si="77"/>
        <v>0.22270955164569675</v>
      </c>
      <c r="AU71" s="340"/>
    </row>
    <row r="72" spans="1:47" ht="12.75" x14ac:dyDescent="0.2">
      <c r="A72" s="26"/>
      <c r="B72" s="38"/>
      <c r="C72" s="252" t="s">
        <v>383</v>
      </c>
      <c r="D72" s="177">
        <v>182</v>
      </c>
      <c r="E72" s="253">
        <v>450000</v>
      </c>
      <c r="F72" s="23">
        <v>2502.3073373771649</v>
      </c>
      <c r="G72" s="23">
        <f t="shared" si="78"/>
        <v>2562.3627134742169</v>
      </c>
      <c r="H72" s="23">
        <f t="shared" si="79"/>
        <v>2639.2335948784435</v>
      </c>
      <c r="I72" s="23">
        <f t="shared" si="79"/>
        <v>2718.4106027247967</v>
      </c>
      <c r="J72" s="23">
        <f t="shared" si="79"/>
        <v>2799.9629208065408</v>
      </c>
      <c r="K72" s="23">
        <f t="shared" si="79"/>
        <v>2883.9618084307372</v>
      </c>
      <c r="L72" s="23">
        <f t="shared" si="79"/>
        <v>2970.4806626836594</v>
      </c>
      <c r="M72" s="23">
        <f t="shared" si="79"/>
        <v>3059.5950825641694</v>
      </c>
      <c r="N72" s="38"/>
      <c r="O72" s="38"/>
      <c r="P72" s="254">
        <v>450000</v>
      </c>
      <c r="Q72" s="255">
        <f t="shared" si="80"/>
        <v>60.055376097051976</v>
      </c>
      <c r="R72" s="256">
        <f t="shared" si="62"/>
        <v>2.4000000000000007E-2</v>
      </c>
      <c r="S72" s="255">
        <f t="shared" si="81"/>
        <v>76.870881404226566</v>
      </c>
      <c r="T72" s="256">
        <f t="shared" si="63"/>
        <v>3.0000000000000023E-2</v>
      </c>
      <c r="U72" s="260">
        <f t="shared" si="82"/>
        <v>136.92625750127854</v>
      </c>
      <c r="V72" s="259">
        <f t="shared" si="64"/>
        <v>5.4720000000000033E-2</v>
      </c>
      <c r="W72" s="258">
        <f t="shared" si="83"/>
        <v>79.177007846353263</v>
      </c>
      <c r="X72" s="256">
        <f t="shared" si="65"/>
        <v>2.9999999999999985E-2</v>
      </c>
      <c r="Y72" s="260">
        <f t="shared" si="84"/>
        <v>216.1032653476318</v>
      </c>
      <c r="Z72" s="256">
        <f t="shared" si="66"/>
        <v>8.6361600000000011E-2</v>
      </c>
      <c r="AA72" s="255">
        <f t="shared" si="85"/>
        <v>81.552318081744033</v>
      </c>
      <c r="AB72" s="256">
        <f t="shared" si="67"/>
        <v>3.0000000000000047E-2</v>
      </c>
      <c r="AC72" s="260">
        <f t="shared" si="86"/>
        <v>297.65558342937584</v>
      </c>
      <c r="AD72" s="261">
        <f t="shared" si="68"/>
        <v>0.11895244800000007</v>
      </c>
      <c r="AE72" s="280">
        <v>450000</v>
      </c>
      <c r="AF72" s="38"/>
      <c r="AG72" s="38"/>
      <c r="AH72" s="263">
        <v>450000</v>
      </c>
      <c r="AI72" s="255">
        <f t="shared" si="87"/>
        <v>83.998887624196414</v>
      </c>
      <c r="AJ72" s="256">
        <f t="shared" si="69"/>
        <v>3.0000000000000068E-2</v>
      </c>
      <c r="AK72" s="260">
        <f t="shared" si="70"/>
        <v>381.65447105357225</v>
      </c>
      <c r="AL72" s="259">
        <f t="shared" si="71"/>
        <v>0.15252102144000015</v>
      </c>
      <c r="AM72" s="255">
        <f t="shared" si="88"/>
        <v>86.51885425292221</v>
      </c>
      <c r="AN72" s="256">
        <f t="shared" si="72"/>
        <v>3.0000000000000034E-2</v>
      </c>
      <c r="AO72" s="260">
        <f t="shared" si="73"/>
        <v>468.17332530649446</v>
      </c>
      <c r="AP72" s="259">
        <f t="shared" si="74"/>
        <v>0.1870966520832002</v>
      </c>
      <c r="AQ72" s="258">
        <f t="shared" si="89"/>
        <v>89.114419880510013</v>
      </c>
      <c r="AR72" s="257">
        <f t="shared" si="75"/>
        <v>3.0000000000000079E-2</v>
      </c>
      <c r="AS72" s="258">
        <f t="shared" si="76"/>
        <v>557.28774518700448</v>
      </c>
      <c r="AT72" s="261">
        <f t="shared" si="77"/>
        <v>0.22270955164569628</v>
      </c>
      <c r="AU72" s="340"/>
    </row>
    <row r="73" spans="1:47" ht="12.75" x14ac:dyDescent="0.2">
      <c r="A73" s="26"/>
      <c r="B73" s="38"/>
      <c r="C73" s="252" t="s">
        <v>384</v>
      </c>
      <c r="D73" s="177">
        <v>105</v>
      </c>
      <c r="E73" s="253">
        <v>550000</v>
      </c>
      <c r="F73" s="23">
        <v>2725.1577270266985</v>
      </c>
      <c r="G73" s="23">
        <f t="shared" si="78"/>
        <v>2790.5615124753394</v>
      </c>
      <c r="H73" s="23">
        <f t="shared" si="79"/>
        <v>2874.2783578495996</v>
      </c>
      <c r="I73" s="23">
        <f t="shared" si="79"/>
        <v>2960.5067085850878</v>
      </c>
      <c r="J73" s="23">
        <f t="shared" si="79"/>
        <v>3049.3219098426407</v>
      </c>
      <c r="K73" s="23">
        <f t="shared" si="79"/>
        <v>3140.8015671379198</v>
      </c>
      <c r="L73" s="23">
        <f t="shared" si="79"/>
        <v>3235.0256141520576</v>
      </c>
      <c r="M73" s="23">
        <f t="shared" si="79"/>
        <v>3332.0763825766194</v>
      </c>
      <c r="N73" s="38"/>
      <c r="O73" s="38"/>
      <c r="P73" s="254">
        <v>550000</v>
      </c>
      <c r="Q73" s="255">
        <f t="shared" si="80"/>
        <v>65.403785448640974</v>
      </c>
      <c r="R73" s="256">
        <f t="shared" si="62"/>
        <v>2.4000000000000077E-2</v>
      </c>
      <c r="S73" s="255">
        <f t="shared" si="81"/>
        <v>83.716845374260174</v>
      </c>
      <c r="T73" s="256">
        <f t="shared" si="63"/>
        <v>2.9999999999999995E-2</v>
      </c>
      <c r="U73" s="260">
        <f t="shared" si="82"/>
        <v>149.12063082290115</v>
      </c>
      <c r="V73" s="259">
        <f t="shared" si="64"/>
        <v>5.4720000000000074E-2</v>
      </c>
      <c r="W73" s="258">
        <f t="shared" si="83"/>
        <v>86.22835073548822</v>
      </c>
      <c r="X73" s="256">
        <f t="shared" si="65"/>
        <v>3.0000000000000082E-2</v>
      </c>
      <c r="Y73" s="260">
        <f t="shared" si="84"/>
        <v>235.34898155838937</v>
      </c>
      <c r="Z73" s="256">
        <f t="shared" si="66"/>
        <v>8.6361600000000163E-2</v>
      </c>
      <c r="AA73" s="255">
        <f t="shared" si="85"/>
        <v>88.815201257552872</v>
      </c>
      <c r="AB73" s="256">
        <f t="shared" si="67"/>
        <v>3.0000000000000079E-2</v>
      </c>
      <c r="AC73" s="260">
        <f t="shared" si="86"/>
        <v>324.16418281594224</v>
      </c>
      <c r="AD73" s="261">
        <f t="shared" si="68"/>
        <v>0.11895244800000025</v>
      </c>
      <c r="AE73" s="280">
        <v>550000</v>
      </c>
      <c r="AF73" s="38"/>
      <c r="AG73" s="38"/>
      <c r="AH73" s="263">
        <v>550000</v>
      </c>
      <c r="AI73" s="255">
        <f t="shared" si="87"/>
        <v>91.479657295279139</v>
      </c>
      <c r="AJ73" s="256">
        <f t="shared" si="69"/>
        <v>2.9999999999999975E-2</v>
      </c>
      <c r="AK73" s="260">
        <f t="shared" si="70"/>
        <v>415.64384011122138</v>
      </c>
      <c r="AL73" s="259">
        <f t="shared" si="71"/>
        <v>0.15252102144000024</v>
      </c>
      <c r="AM73" s="255">
        <f t="shared" si="88"/>
        <v>94.224047014137795</v>
      </c>
      <c r="AN73" s="256">
        <f t="shared" si="72"/>
        <v>3.0000000000000065E-2</v>
      </c>
      <c r="AO73" s="260">
        <f t="shared" si="73"/>
        <v>509.86788712535918</v>
      </c>
      <c r="AP73" s="259">
        <f t="shared" si="74"/>
        <v>0.18709665208320031</v>
      </c>
      <c r="AQ73" s="258">
        <f t="shared" si="89"/>
        <v>97.050768424561738</v>
      </c>
      <c r="AR73" s="257">
        <f t="shared" si="75"/>
        <v>3.0000000000000002E-2</v>
      </c>
      <c r="AS73" s="258">
        <f t="shared" si="76"/>
        <v>606.91865554992091</v>
      </c>
      <c r="AT73" s="261">
        <f t="shared" si="77"/>
        <v>0.22270955164569634</v>
      </c>
      <c r="AU73" s="340"/>
    </row>
    <row r="74" spans="1:47" ht="12.75" x14ac:dyDescent="0.2">
      <c r="A74" s="26"/>
      <c r="B74" s="38"/>
      <c r="C74" s="252" t="s">
        <v>385</v>
      </c>
      <c r="D74" s="177">
        <v>100</v>
      </c>
      <c r="E74" s="253">
        <v>650000</v>
      </c>
      <c r="F74" s="23">
        <v>3121.8239578803514</v>
      </c>
      <c r="G74" s="23">
        <f t="shared" si="78"/>
        <v>3196.7477328694799</v>
      </c>
      <c r="H74" s="23">
        <f t="shared" si="79"/>
        <v>3292.6501648555645</v>
      </c>
      <c r="I74" s="23">
        <f t="shared" si="79"/>
        <v>3391.4296698012317</v>
      </c>
      <c r="J74" s="23">
        <f t="shared" si="79"/>
        <v>3493.1725598952689</v>
      </c>
      <c r="K74" s="23">
        <f t="shared" si="79"/>
        <v>3597.9677366921269</v>
      </c>
      <c r="L74" s="23">
        <f t="shared" si="79"/>
        <v>3705.9067687928909</v>
      </c>
      <c r="M74" s="23">
        <f t="shared" si="79"/>
        <v>3817.0839718566776</v>
      </c>
      <c r="N74" s="38"/>
      <c r="O74" s="38"/>
      <c r="P74" s="254">
        <v>650000</v>
      </c>
      <c r="Q74" s="255">
        <f t="shared" si="80"/>
        <v>74.92377498912856</v>
      </c>
      <c r="R74" s="256">
        <f t="shared" si="62"/>
        <v>2.4000000000000042E-2</v>
      </c>
      <c r="S74" s="255">
        <f t="shared" si="81"/>
        <v>95.902431986084594</v>
      </c>
      <c r="T74" s="256">
        <f t="shared" si="63"/>
        <v>3.0000000000000061E-2</v>
      </c>
      <c r="U74" s="260">
        <f t="shared" si="82"/>
        <v>170.82620697521315</v>
      </c>
      <c r="V74" s="259">
        <f t="shared" si="64"/>
        <v>5.4720000000000102E-2</v>
      </c>
      <c r="W74" s="258">
        <f t="shared" si="83"/>
        <v>98.779504945667213</v>
      </c>
      <c r="X74" s="256">
        <f t="shared" si="65"/>
        <v>3.0000000000000086E-2</v>
      </c>
      <c r="Y74" s="260">
        <f t="shared" si="84"/>
        <v>269.60571192088037</v>
      </c>
      <c r="Z74" s="256">
        <f t="shared" si="66"/>
        <v>8.6361600000000191E-2</v>
      </c>
      <c r="AA74" s="255">
        <f t="shared" si="85"/>
        <v>101.74289009403719</v>
      </c>
      <c r="AB74" s="256">
        <f t="shared" si="67"/>
        <v>3.0000000000000072E-2</v>
      </c>
      <c r="AC74" s="260">
        <f t="shared" si="86"/>
        <v>371.34860201491756</v>
      </c>
      <c r="AD74" s="261">
        <f t="shared" si="68"/>
        <v>0.11895244800000028</v>
      </c>
      <c r="AE74" s="280">
        <v>650000</v>
      </c>
      <c r="AF74" s="38"/>
      <c r="AG74" s="38"/>
      <c r="AH74" s="263">
        <v>650000</v>
      </c>
      <c r="AI74" s="255">
        <f t="shared" si="87"/>
        <v>104.79517679685796</v>
      </c>
      <c r="AJ74" s="256">
        <f t="shared" si="69"/>
        <v>2.9999999999999968E-2</v>
      </c>
      <c r="AK74" s="260">
        <f t="shared" si="70"/>
        <v>476.14377881177552</v>
      </c>
      <c r="AL74" s="259">
        <f t="shared" si="71"/>
        <v>0.15252102144000027</v>
      </c>
      <c r="AM74" s="255">
        <f t="shared" si="88"/>
        <v>107.93903210076405</v>
      </c>
      <c r="AN74" s="256">
        <f t="shared" si="72"/>
        <v>3.0000000000000068E-2</v>
      </c>
      <c r="AO74" s="260">
        <f t="shared" si="73"/>
        <v>584.08281091253957</v>
      </c>
      <c r="AP74" s="259">
        <f t="shared" si="74"/>
        <v>0.18709665208320034</v>
      </c>
      <c r="AQ74" s="258">
        <f t="shared" si="89"/>
        <v>111.17720306378669</v>
      </c>
      <c r="AR74" s="257">
        <f t="shared" si="75"/>
        <v>2.9999999999999988E-2</v>
      </c>
      <c r="AS74" s="258">
        <f t="shared" si="76"/>
        <v>695.26001397632626</v>
      </c>
      <c r="AT74" s="261">
        <f t="shared" si="77"/>
        <v>0.22270955164569634</v>
      </c>
      <c r="AU74" s="340"/>
    </row>
    <row r="75" spans="1:47" ht="12.75" x14ac:dyDescent="0.2">
      <c r="A75" s="26"/>
      <c r="B75" s="38"/>
      <c r="C75" s="252" t="s">
        <v>386</v>
      </c>
      <c r="D75" s="177">
        <v>74</v>
      </c>
      <c r="E75" s="253">
        <v>750000</v>
      </c>
      <c r="F75" s="23">
        <v>3431.3451197133054</v>
      </c>
      <c r="G75" s="23">
        <f t="shared" si="78"/>
        <v>3513.6974025864247</v>
      </c>
      <c r="H75" s="23">
        <f t="shared" si="79"/>
        <v>3619.1083246640173</v>
      </c>
      <c r="I75" s="23">
        <f t="shared" si="79"/>
        <v>3727.6815744039382</v>
      </c>
      <c r="J75" s="23">
        <f t="shared" si="79"/>
        <v>3839.5120216360565</v>
      </c>
      <c r="K75" s="23">
        <f t="shared" si="79"/>
        <v>3954.6973822851382</v>
      </c>
      <c r="L75" s="23">
        <f t="shared" si="79"/>
        <v>4073.3383037536923</v>
      </c>
      <c r="M75" s="23">
        <f t="shared" si="79"/>
        <v>4195.5384528663035</v>
      </c>
      <c r="N75" s="38"/>
      <c r="O75" s="38"/>
      <c r="P75" s="254">
        <v>750000</v>
      </c>
      <c r="Q75" s="255">
        <f t="shared" si="80"/>
        <v>82.352282873119293</v>
      </c>
      <c r="R75" s="256">
        <f t="shared" si="62"/>
        <v>2.399999999999999E-2</v>
      </c>
      <c r="S75" s="255">
        <f t="shared" si="81"/>
        <v>105.41092207759266</v>
      </c>
      <c r="T75" s="256">
        <f t="shared" si="63"/>
        <v>2.9999999999999978E-2</v>
      </c>
      <c r="U75" s="260">
        <f t="shared" si="82"/>
        <v>187.76320495071195</v>
      </c>
      <c r="V75" s="259">
        <f t="shared" si="64"/>
        <v>5.4719999999999963E-2</v>
      </c>
      <c r="W75" s="258">
        <f t="shared" si="83"/>
        <v>108.57324973992081</v>
      </c>
      <c r="X75" s="256">
        <f t="shared" si="65"/>
        <v>3.0000000000000079E-2</v>
      </c>
      <c r="Y75" s="260">
        <f t="shared" si="84"/>
        <v>296.33645469063276</v>
      </c>
      <c r="Z75" s="256">
        <f t="shared" si="66"/>
        <v>8.6361600000000052E-2</v>
      </c>
      <c r="AA75" s="255">
        <f t="shared" si="85"/>
        <v>111.83044723211833</v>
      </c>
      <c r="AB75" s="256">
        <f t="shared" si="67"/>
        <v>3.0000000000000051E-2</v>
      </c>
      <c r="AC75" s="260">
        <f t="shared" si="86"/>
        <v>408.16690192275109</v>
      </c>
      <c r="AD75" s="261">
        <f t="shared" si="68"/>
        <v>0.1189524480000001</v>
      </c>
      <c r="AE75" s="280">
        <v>750000</v>
      </c>
      <c r="AF75" s="38"/>
      <c r="AG75" s="38"/>
      <c r="AH75" s="263">
        <v>750000</v>
      </c>
      <c r="AI75" s="255">
        <f t="shared" si="87"/>
        <v>115.18536064908176</v>
      </c>
      <c r="AJ75" s="256">
        <f t="shared" si="69"/>
        <v>3.0000000000000016E-2</v>
      </c>
      <c r="AK75" s="260">
        <f t="shared" si="70"/>
        <v>523.35226257183285</v>
      </c>
      <c r="AL75" s="259">
        <f t="shared" si="71"/>
        <v>0.15252102144000013</v>
      </c>
      <c r="AM75" s="255">
        <f t="shared" si="88"/>
        <v>118.6409214685541</v>
      </c>
      <c r="AN75" s="256">
        <f t="shared" si="72"/>
        <v>2.9999999999999988E-2</v>
      </c>
      <c r="AO75" s="260">
        <f t="shared" si="73"/>
        <v>641.99318404038695</v>
      </c>
      <c r="AP75" s="259">
        <f t="shared" si="74"/>
        <v>0.18709665208320012</v>
      </c>
      <c r="AQ75" s="258">
        <f t="shared" si="89"/>
        <v>122.20014911261114</v>
      </c>
      <c r="AR75" s="257">
        <f t="shared" si="75"/>
        <v>3.0000000000000093E-2</v>
      </c>
      <c r="AS75" s="258">
        <f t="shared" si="76"/>
        <v>764.19333315299809</v>
      </c>
      <c r="AT75" s="261">
        <f t="shared" si="77"/>
        <v>0.22270955164569622</v>
      </c>
      <c r="AU75" s="340"/>
    </row>
    <row r="76" spans="1:47" ht="12.75" x14ac:dyDescent="0.2">
      <c r="A76" s="26"/>
      <c r="B76" s="38"/>
      <c r="C76" s="252" t="s">
        <v>387</v>
      </c>
      <c r="D76" s="177">
        <v>61</v>
      </c>
      <c r="E76" s="253">
        <v>850000</v>
      </c>
      <c r="F76" s="23">
        <v>3724.4515677773838</v>
      </c>
      <c r="G76" s="23">
        <f t="shared" si="78"/>
        <v>3813.8384054040412</v>
      </c>
      <c r="H76" s="23">
        <f t="shared" si="79"/>
        <v>3928.2535575661627</v>
      </c>
      <c r="I76" s="23">
        <f t="shared" si="79"/>
        <v>4046.1011642931476</v>
      </c>
      <c r="J76" s="23">
        <f t="shared" si="79"/>
        <v>4167.4841992219417</v>
      </c>
      <c r="K76" s="23">
        <f t="shared" si="79"/>
        <v>4292.5087251985997</v>
      </c>
      <c r="L76" s="23">
        <f t="shared" si="79"/>
        <v>4421.2839869545578</v>
      </c>
      <c r="M76" s="23">
        <f t="shared" si="79"/>
        <v>4553.9225065631945</v>
      </c>
      <c r="N76" s="38"/>
      <c r="O76" s="38"/>
      <c r="P76" s="254">
        <v>850000</v>
      </c>
      <c r="Q76" s="255">
        <f t="shared" si="80"/>
        <v>89.386837626657325</v>
      </c>
      <c r="R76" s="256">
        <f t="shared" si="62"/>
        <v>2.4000000000000032E-2</v>
      </c>
      <c r="S76" s="255">
        <f t="shared" si="81"/>
        <v>114.41515216212156</v>
      </c>
      <c r="T76" s="256">
        <f t="shared" si="63"/>
        <v>3.0000000000000086E-2</v>
      </c>
      <c r="U76" s="260">
        <f t="shared" si="82"/>
        <v>203.80198978877888</v>
      </c>
      <c r="V76" s="259">
        <f t="shared" si="64"/>
        <v>5.4720000000000116E-2</v>
      </c>
      <c r="W76" s="258">
        <f t="shared" si="83"/>
        <v>117.84760672698485</v>
      </c>
      <c r="X76" s="256">
        <f t="shared" si="65"/>
        <v>2.9999999999999992E-2</v>
      </c>
      <c r="Y76" s="260">
        <f t="shared" si="84"/>
        <v>321.64959651576373</v>
      </c>
      <c r="Z76" s="256">
        <f t="shared" si="66"/>
        <v>8.6361600000000108E-2</v>
      </c>
      <c r="AA76" s="255">
        <f t="shared" si="85"/>
        <v>121.38303492879413</v>
      </c>
      <c r="AB76" s="256">
        <f t="shared" si="67"/>
        <v>2.9999999999999926E-2</v>
      </c>
      <c r="AC76" s="260">
        <f t="shared" si="86"/>
        <v>443.03263144455786</v>
      </c>
      <c r="AD76" s="261">
        <f t="shared" si="68"/>
        <v>0.11895244800000003</v>
      </c>
      <c r="AE76" s="280">
        <v>850000</v>
      </c>
      <c r="AF76" s="38"/>
      <c r="AG76" s="38"/>
      <c r="AH76" s="263">
        <v>850000</v>
      </c>
      <c r="AI76" s="255">
        <f t="shared" si="87"/>
        <v>125.02452597665797</v>
      </c>
      <c r="AJ76" s="256">
        <f t="shared" si="69"/>
        <v>2.9999999999999933E-2</v>
      </c>
      <c r="AK76" s="260">
        <f t="shared" si="70"/>
        <v>568.05715742121583</v>
      </c>
      <c r="AL76" s="259">
        <f t="shared" si="71"/>
        <v>0.15252102143999996</v>
      </c>
      <c r="AM76" s="255">
        <f t="shared" si="88"/>
        <v>128.77526175595813</v>
      </c>
      <c r="AN76" s="256">
        <f t="shared" si="72"/>
        <v>3.000000000000003E-2</v>
      </c>
      <c r="AO76" s="260">
        <f t="shared" si="73"/>
        <v>696.83241917717396</v>
      </c>
      <c r="AP76" s="259">
        <f t="shared" si="74"/>
        <v>0.1870966520832</v>
      </c>
      <c r="AQ76" s="258">
        <f t="shared" si="89"/>
        <v>132.63851960863667</v>
      </c>
      <c r="AR76" s="257">
        <f t="shared" si="75"/>
        <v>2.9999999999999985E-2</v>
      </c>
      <c r="AS76" s="258">
        <f t="shared" si="76"/>
        <v>829.47093878581063</v>
      </c>
      <c r="AT76" s="261">
        <f t="shared" si="77"/>
        <v>0.22270955164569597</v>
      </c>
      <c r="AU76" s="340"/>
    </row>
    <row r="77" spans="1:47" ht="12.75" x14ac:dyDescent="0.2">
      <c r="A77" s="26"/>
      <c r="B77" s="38"/>
      <c r="C77" s="252" t="s">
        <v>388</v>
      </c>
      <c r="D77" s="177">
        <v>56</v>
      </c>
      <c r="E77" s="253">
        <v>950000</v>
      </c>
      <c r="F77" s="23">
        <v>4164.2167097061647</v>
      </c>
      <c r="G77" s="23">
        <f t="shared" si="78"/>
        <v>4264.1579107391126</v>
      </c>
      <c r="H77" s="23">
        <f t="shared" si="79"/>
        <v>4392.0826480612859</v>
      </c>
      <c r="I77" s="23">
        <f t="shared" si="79"/>
        <v>4523.8451275031248</v>
      </c>
      <c r="J77" s="23">
        <f t="shared" si="79"/>
        <v>4659.5604813282189</v>
      </c>
      <c r="K77" s="23">
        <f t="shared" si="79"/>
        <v>4799.3472957680651</v>
      </c>
      <c r="L77" s="23">
        <f t="shared" si="79"/>
        <v>4943.3277146411074</v>
      </c>
      <c r="M77" s="23">
        <f t="shared" si="79"/>
        <v>5091.6275460803408</v>
      </c>
      <c r="N77" s="38"/>
      <c r="O77" s="38"/>
      <c r="P77" s="254">
        <v>950000</v>
      </c>
      <c r="Q77" s="255">
        <f t="shared" si="80"/>
        <v>99.941201032947902</v>
      </c>
      <c r="R77" s="256">
        <f t="shared" si="62"/>
        <v>2.3999999999999987E-2</v>
      </c>
      <c r="S77" s="255">
        <f t="shared" si="81"/>
        <v>127.92473732217331</v>
      </c>
      <c r="T77" s="256">
        <f t="shared" si="63"/>
        <v>2.9999999999999985E-2</v>
      </c>
      <c r="U77" s="260">
        <f t="shared" si="82"/>
        <v>227.86593835512122</v>
      </c>
      <c r="V77" s="259">
        <f t="shared" si="64"/>
        <v>5.471999999999997E-2</v>
      </c>
      <c r="W77" s="258">
        <f t="shared" si="83"/>
        <v>131.76247944183888</v>
      </c>
      <c r="X77" s="256">
        <f t="shared" si="65"/>
        <v>3.0000000000000068E-2</v>
      </c>
      <c r="Y77" s="260">
        <f t="shared" si="84"/>
        <v>359.62841779696009</v>
      </c>
      <c r="Z77" s="256">
        <f t="shared" si="66"/>
        <v>8.6361600000000038E-2</v>
      </c>
      <c r="AA77" s="255">
        <f t="shared" si="85"/>
        <v>135.7153538250941</v>
      </c>
      <c r="AB77" s="256">
        <f t="shared" si="67"/>
        <v>3.0000000000000079E-2</v>
      </c>
      <c r="AC77" s="260">
        <f t="shared" si="86"/>
        <v>495.34377162205419</v>
      </c>
      <c r="AD77" s="261">
        <f t="shared" si="68"/>
        <v>0.11895244800000013</v>
      </c>
      <c r="AE77" s="280">
        <v>950000</v>
      </c>
      <c r="AF77" s="38"/>
      <c r="AG77" s="38"/>
      <c r="AH77" s="263">
        <v>950000</v>
      </c>
      <c r="AI77" s="255">
        <f t="shared" si="87"/>
        <v>139.78681443984624</v>
      </c>
      <c r="AJ77" s="256">
        <f t="shared" si="69"/>
        <v>2.999999999999993E-2</v>
      </c>
      <c r="AK77" s="260">
        <f t="shared" si="70"/>
        <v>635.13058606190043</v>
      </c>
      <c r="AL77" s="259">
        <f t="shared" si="71"/>
        <v>0.15252102144000004</v>
      </c>
      <c r="AM77" s="255">
        <f t="shared" si="88"/>
        <v>143.98041887304225</v>
      </c>
      <c r="AN77" s="256">
        <f t="shared" si="72"/>
        <v>3.0000000000000061E-2</v>
      </c>
      <c r="AO77" s="260">
        <f t="shared" si="73"/>
        <v>779.11100493494268</v>
      </c>
      <c r="AP77" s="259">
        <f t="shared" si="74"/>
        <v>0.18709665208320012</v>
      </c>
      <c r="AQ77" s="258">
        <f t="shared" si="89"/>
        <v>148.29983143923346</v>
      </c>
      <c r="AR77" s="257">
        <f t="shared" si="75"/>
        <v>3.0000000000000047E-2</v>
      </c>
      <c r="AS77" s="258">
        <f t="shared" si="76"/>
        <v>927.41083637417614</v>
      </c>
      <c r="AT77" s="261">
        <f t="shared" si="77"/>
        <v>0.2227095516456962</v>
      </c>
      <c r="AU77" s="340"/>
    </row>
    <row r="78" spans="1:47" ht="12.75" x14ac:dyDescent="0.2">
      <c r="A78" s="26"/>
      <c r="B78" s="38"/>
      <c r="C78" s="252" t="s">
        <v>390</v>
      </c>
      <c r="D78" s="177">
        <v>106</v>
      </c>
      <c r="E78" s="253">
        <v>1250000</v>
      </c>
      <c r="F78" s="23">
        <v>5090.8573124399372</v>
      </c>
      <c r="G78" s="23">
        <f t="shared" si="78"/>
        <v>5213.0378879384962</v>
      </c>
      <c r="H78" s="23">
        <f t="shared" si="79"/>
        <v>5369.4290245766515</v>
      </c>
      <c r="I78" s="23">
        <f t="shared" si="79"/>
        <v>5530.5118953139508</v>
      </c>
      <c r="J78" s="23">
        <f t="shared" si="79"/>
        <v>5696.4272521733692</v>
      </c>
      <c r="K78" s="23">
        <f t="shared" si="79"/>
        <v>5867.3200697385701</v>
      </c>
      <c r="L78" s="23">
        <f t="shared" si="79"/>
        <v>6043.3396718307276</v>
      </c>
      <c r="M78" s="23">
        <f t="shared" si="79"/>
        <v>6224.63986198565</v>
      </c>
      <c r="N78" s="38"/>
      <c r="O78" s="38"/>
      <c r="P78" s="254">
        <v>1250000</v>
      </c>
      <c r="Q78" s="255">
        <f t="shared" si="80"/>
        <v>122.18057549855894</v>
      </c>
      <c r="R78" s="256">
        <f t="shared" si="62"/>
        <v>2.4000000000000087E-2</v>
      </c>
      <c r="S78" s="255">
        <f t="shared" si="81"/>
        <v>156.39113663815533</v>
      </c>
      <c r="T78" s="256">
        <f t="shared" si="63"/>
        <v>3.0000000000000086E-2</v>
      </c>
      <c r="U78" s="260">
        <f t="shared" si="82"/>
        <v>278.57171213671427</v>
      </c>
      <c r="V78" s="259">
        <f t="shared" si="64"/>
        <v>5.4720000000000178E-2</v>
      </c>
      <c r="W78" s="258">
        <f t="shared" si="83"/>
        <v>161.08287073729934</v>
      </c>
      <c r="X78" s="256">
        <f t="shared" si="65"/>
        <v>2.9999999999999964E-2</v>
      </c>
      <c r="Y78" s="260">
        <f t="shared" si="84"/>
        <v>439.65458287401361</v>
      </c>
      <c r="Z78" s="256">
        <f t="shared" si="66"/>
        <v>8.6361600000000149E-2</v>
      </c>
      <c r="AA78" s="255">
        <f t="shared" si="85"/>
        <v>165.91535685941835</v>
      </c>
      <c r="AB78" s="256">
        <f t="shared" si="67"/>
        <v>2.9999999999999968E-2</v>
      </c>
      <c r="AC78" s="260">
        <f t="shared" si="86"/>
        <v>605.56993973343197</v>
      </c>
      <c r="AD78" s="261">
        <f t="shared" si="68"/>
        <v>0.11895244800000011</v>
      </c>
      <c r="AE78" s="280">
        <v>1250000</v>
      </c>
      <c r="AF78" s="38"/>
      <c r="AG78" s="38"/>
      <c r="AH78" s="263">
        <v>1250000</v>
      </c>
      <c r="AI78" s="255">
        <f t="shared" si="87"/>
        <v>170.89281756520086</v>
      </c>
      <c r="AJ78" s="256">
        <f t="shared" si="69"/>
        <v>2.9999999999999961E-2</v>
      </c>
      <c r="AK78" s="260">
        <f t="shared" si="70"/>
        <v>776.46275729863282</v>
      </c>
      <c r="AL78" s="259">
        <f t="shared" si="71"/>
        <v>0.15252102144000007</v>
      </c>
      <c r="AM78" s="255">
        <f t="shared" si="88"/>
        <v>176.01960209215758</v>
      </c>
      <c r="AN78" s="256">
        <f t="shared" si="72"/>
        <v>3.0000000000000082E-2</v>
      </c>
      <c r="AO78" s="260">
        <f t="shared" si="73"/>
        <v>952.48235939079041</v>
      </c>
      <c r="AP78" s="259">
        <f t="shared" si="74"/>
        <v>0.18709665208320017</v>
      </c>
      <c r="AQ78" s="258">
        <f t="shared" si="89"/>
        <v>181.30019015492235</v>
      </c>
      <c r="AR78" s="257">
        <f t="shared" si="75"/>
        <v>3.0000000000000086E-2</v>
      </c>
      <c r="AS78" s="258">
        <f t="shared" si="76"/>
        <v>1133.7825495457128</v>
      </c>
      <c r="AT78" s="261">
        <f t="shared" si="77"/>
        <v>0.22270955164569628</v>
      </c>
      <c r="AU78" s="340"/>
    </row>
    <row r="79" spans="1:47" ht="12.75" x14ac:dyDescent="0.2">
      <c r="A79" s="26"/>
      <c r="B79" s="38"/>
      <c r="C79" s="252" t="s">
        <v>391</v>
      </c>
      <c r="D79" s="177">
        <v>29</v>
      </c>
      <c r="E79" s="253">
        <v>1750000</v>
      </c>
      <c r="F79" s="23">
        <v>6823.9335917268618</v>
      </c>
      <c r="G79" s="23">
        <f t="shared" si="78"/>
        <v>6987.7079979283062</v>
      </c>
      <c r="H79" s="23">
        <f t="shared" si="79"/>
        <v>7197.3392378661556</v>
      </c>
      <c r="I79" s="23">
        <f t="shared" si="79"/>
        <v>7413.2594150021405</v>
      </c>
      <c r="J79" s="23">
        <f t="shared" si="79"/>
        <v>7635.6571974522049</v>
      </c>
      <c r="K79" s="23">
        <f t="shared" si="79"/>
        <v>7864.7269133757709</v>
      </c>
      <c r="L79" s="23">
        <f t="shared" si="79"/>
        <v>8100.6687207770447</v>
      </c>
      <c r="M79" s="23">
        <f t="shared" si="79"/>
        <v>8343.688782400357</v>
      </c>
      <c r="N79" s="38"/>
      <c r="O79" s="38"/>
      <c r="P79" s="254">
        <v>1750000</v>
      </c>
      <c r="Q79" s="255">
        <f t="shared" si="80"/>
        <v>163.77440620144444</v>
      </c>
      <c r="R79" s="256">
        <f t="shared" si="62"/>
        <v>2.3999999999999962E-2</v>
      </c>
      <c r="S79" s="255">
        <f t="shared" si="81"/>
        <v>209.63123993784939</v>
      </c>
      <c r="T79" s="256">
        <f t="shared" si="63"/>
        <v>3.000000000000003E-2</v>
      </c>
      <c r="U79" s="260">
        <f t="shared" si="82"/>
        <v>373.40564613929382</v>
      </c>
      <c r="V79" s="259">
        <f t="shared" si="64"/>
        <v>5.4719999999999991E-2</v>
      </c>
      <c r="W79" s="258">
        <f t="shared" si="83"/>
        <v>215.92017713598489</v>
      </c>
      <c r="X79" s="256">
        <f t="shared" si="65"/>
        <v>3.000000000000003E-2</v>
      </c>
      <c r="Y79" s="260">
        <f t="shared" si="84"/>
        <v>589.32582327527871</v>
      </c>
      <c r="Z79" s="256">
        <f t="shared" si="66"/>
        <v>8.6361600000000024E-2</v>
      </c>
      <c r="AA79" s="255">
        <f t="shared" si="85"/>
        <v>222.39778245006437</v>
      </c>
      <c r="AB79" s="256">
        <f t="shared" si="67"/>
        <v>3.000000000000002E-2</v>
      </c>
      <c r="AC79" s="260">
        <f t="shared" si="86"/>
        <v>811.72360572534308</v>
      </c>
      <c r="AD79" s="261">
        <f t="shared" si="68"/>
        <v>0.11895244800000004</v>
      </c>
      <c r="AE79" s="280">
        <v>1750000</v>
      </c>
      <c r="AF79" s="38"/>
      <c r="AG79" s="38"/>
      <c r="AH79" s="263">
        <v>1750000</v>
      </c>
      <c r="AI79" s="255">
        <f t="shared" si="87"/>
        <v>229.06971592356604</v>
      </c>
      <c r="AJ79" s="256">
        <f t="shared" si="69"/>
        <v>2.9999999999999985E-2</v>
      </c>
      <c r="AK79" s="260">
        <f t="shared" si="70"/>
        <v>1040.7933216489091</v>
      </c>
      <c r="AL79" s="259">
        <f t="shared" si="71"/>
        <v>0.15252102144000004</v>
      </c>
      <c r="AM79" s="255">
        <f t="shared" si="88"/>
        <v>235.94180740127376</v>
      </c>
      <c r="AN79" s="256">
        <f t="shared" si="72"/>
        <v>3.0000000000000082E-2</v>
      </c>
      <c r="AO79" s="260">
        <f t="shared" si="73"/>
        <v>1276.7351290501829</v>
      </c>
      <c r="AP79" s="259">
        <f t="shared" si="74"/>
        <v>0.18709665208320012</v>
      </c>
      <c r="AQ79" s="258">
        <f t="shared" si="89"/>
        <v>243.02006162331236</v>
      </c>
      <c r="AR79" s="257">
        <f t="shared" si="75"/>
        <v>3.0000000000000127E-2</v>
      </c>
      <c r="AS79" s="258">
        <f t="shared" si="76"/>
        <v>1519.7551906734952</v>
      </c>
      <c r="AT79" s="261">
        <f t="shared" si="77"/>
        <v>0.22270955164569628</v>
      </c>
      <c r="AU79" s="340"/>
    </row>
    <row r="80" spans="1:47" ht="12.75" x14ac:dyDescent="0.2">
      <c r="A80" s="26"/>
      <c r="B80" s="38"/>
      <c r="C80" s="252" t="s">
        <v>392</v>
      </c>
      <c r="D80" s="177">
        <v>18</v>
      </c>
      <c r="E80" s="253">
        <v>2500000</v>
      </c>
      <c r="F80" s="23">
        <v>12576.614079947452</v>
      </c>
      <c r="G80" s="23">
        <f t="shared" si="78"/>
        <v>12878.452817866191</v>
      </c>
      <c r="H80" s="23">
        <f t="shared" si="79"/>
        <v>13264.806402402177</v>
      </c>
      <c r="I80" s="23">
        <f t="shared" si="79"/>
        <v>13662.750594474242</v>
      </c>
      <c r="J80" s="23">
        <f t="shared" si="79"/>
        <v>14072.633112308469</v>
      </c>
      <c r="K80" s="23">
        <f t="shared" si="79"/>
        <v>14494.812105677724</v>
      </c>
      <c r="L80" s="23">
        <f t="shared" si="79"/>
        <v>14929.656468848056</v>
      </c>
      <c r="M80" s="23">
        <f t="shared" si="79"/>
        <v>15377.546162913497</v>
      </c>
      <c r="N80" s="38"/>
      <c r="O80" s="38"/>
      <c r="P80" s="254">
        <v>2500000</v>
      </c>
      <c r="Q80" s="255">
        <f t="shared" si="80"/>
        <v>301.83873791873884</v>
      </c>
      <c r="R80" s="256">
        <f t="shared" si="62"/>
        <v>2.4E-2</v>
      </c>
      <c r="S80" s="255">
        <f t="shared" si="81"/>
        <v>386.35358453598565</v>
      </c>
      <c r="T80" s="256">
        <f t="shared" si="63"/>
        <v>2.9999999999999992E-2</v>
      </c>
      <c r="U80" s="260">
        <f t="shared" si="82"/>
        <v>688.19232245472449</v>
      </c>
      <c r="V80" s="259">
        <f t="shared" si="64"/>
        <v>5.4719999999999991E-2</v>
      </c>
      <c r="W80" s="258">
        <f t="shared" si="83"/>
        <v>397.94419207206556</v>
      </c>
      <c r="X80" s="256">
        <f t="shared" si="65"/>
        <v>3.000000000000002E-2</v>
      </c>
      <c r="Y80" s="260">
        <f t="shared" si="84"/>
        <v>1086.1365145267901</v>
      </c>
      <c r="Z80" s="256">
        <f t="shared" si="66"/>
        <v>8.6361600000000011E-2</v>
      </c>
      <c r="AA80" s="255">
        <f t="shared" si="85"/>
        <v>409.88251783422675</v>
      </c>
      <c r="AB80" s="256">
        <f t="shared" si="67"/>
        <v>2.9999999999999961E-2</v>
      </c>
      <c r="AC80" s="260">
        <f t="shared" si="86"/>
        <v>1496.0190323610168</v>
      </c>
      <c r="AD80" s="261">
        <f t="shared" si="68"/>
        <v>0.11895244799999997</v>
      </c>
      <c r="AE80" s="280">
        <v>2500000</v>
      </c>
      <c r="AF80" s="38"/>
      <c r="AG80" s="38"/>
      <c r="AH80" s="263">
        <v>2500000</v>
      </c>
      <c r="AI80" s="255">
        <f t="shared" si="87"/>
        <v>422.17899336925439</v>
      </c>
      <c r="AJ80" s="256">
        <f t="shared" si="69"/>
        <v>3.0000000000000023E-2</v>
      </c>
      <c r="AK80" s="260">
        <f t="shared" si="70"/>
        <v>1918.1980257302712</v>
      </c>
      <c r="AL80" s="259">
        <f t="shared" si="71"/>
        <v>0.15252102143999999</v>
      </c>
      <c r="AM80" s="255">
        <f t="shared" si="88"/>
        <v>434.84436317033214</v>
      </c>
      <c r="AN80" s="256">
        <f t="shared" si="72"/>
        <v>3.000000000000003E-2</v>
      </c>
      <c r="AO80" s="260">
        <f t="shared" si="73"/>
        <v>2353.0423889006033</v>
      </c>
      <c r="AP80" s="259">
        <f t="shared" si="74"/>
        <v>0.18709665208320003</v>
      </c>
      <c r="AQ80" s="258">
        <f t="shared" si="89"/>
        <v>447.88969406544129</v>
      </c>
      <c r="AR80" s="257">
        <f t="shared" si="75"/>
        <v>2.9999999999999975E-2</v>
      </c>
      <c r="AS80" s="258">
        <f t="shared" si="76"/>
        <v>2800.9320829660446</v>
      </c>
      <c r="AT80" s="261">
        <f t="shared" si="77"/>
        <v>0.222709551645696</v>
      </c>
      <c r="AU80" s="340"/>
    </row>
    <row r="81" spans="1:47" ht="13.5" thickBot="1" x14ac:dyDescent="0.25">
      <c r="A81" s="26"/>
      <c r="B81" s="38"/>
      <c r="C81" s="216" t="s">
        <v>15</v>
      </c>
      <c r="D81" s="195">
        <v>11</v>
      </c>
      <c r="E81" s="264">
        <v>3000000</v>
      </c>
      <c r="F81" s="125">
        <v>16931.128888888892</v>
      </c>
      <c r="G81" s="23">
        <f t="shared" si="78"/>
        <v>17337.475982222226</v>
      </c>
      <c r="H81" s="23">
        <f t="shared" si="79"/>
        <v>17857.600261688895</v>
      </c>
      <c r="I81" s="23">
        <f t="shared" si="79"/>
        <v>18393.328269539561</v>
      </c>
      <c r="J81" s="23">
        <f t="shared" si="79"/>
        <v>18945.128117625747</v>
      </c>
      <c r="K81" s="23">
        <f t="shared" si="79"/>
        <v>19513.481961154521</v>
      </c>
      <c r="L81" s="23">
        <f t="shared" si="79"/>
        <v>20098.886419989158</v>
      </c>
      <c r="M81" s="23">
        <f t="shared" si="79"/>
        <v>20701.853012588832</v>
      </c>
      <c r="N81" s="38"/>
      <c r="O81" s="38"/>
      <c r="P81" s="265">
        <v>3000000</v>
      </c>
      <c r="Q81" s="347">
        <f t="shared" si="80"/>
        <v>406.34709333333376</v>
      </c>
      <c r="R81" s="342">
        <f t="shared" si="62"/>
        <v>2.4000000000000021E-2</v>
      </c>
      <c r="S81" s="347">
        <f t="shared" si="81"/>
        <v>520.12427946666867</v>
      </c>
      <c r="T81" s="342">
        <f t="shared" si="63"/>
        <v>3.000000000000011E-2</v>
      </c>
      <c r="U81" s="343">
        <f t="shared" si="82"/>
        <v>926.47137280000243</v>
      </c>
      <c r="V81" s="348">
        <f t="shared" si="64"/>
        <v>5.472000000000013E-2</v>
      </c>
      <c r="W81" s="341">
        <f t="shared" si="83"/>
        <v>535.72800785066647</v>
      </c>
      <c r="X81" s="342">
        <f t="shared" si="65"/>
        <v>2.9999999999999978E-2</v>
      </c>
      <c r="Y81" s="271">
        <f t="shared" si="84"/>
        <v>1462.1993806506689</v>
      </c>
      <c r="Z81" s="342">
        <f t="shared" si="66"/>
        <v>8.6361600000000122E-2</v>
      </c>
      <c r="AA81" s="266">
        <f t="shared" si="85"/>
        <v>551.7998480861861</v>
      </c>
      <c r="AB81" s="267">
        <f t="shared" si="67"/>
        <v>2.9999999999999961E-2</v>
      </c>
      <c r="AC81" s="271">
        <f t="shared" si="86"/>
        <v>2013.999228736855</v>
      </c>
      <c r="AD81" s="274">
        <f t="shared" si="68"/>
        <v>0.11895244800000007</v>
      </c>
      <c r="AE81" s="281">
        <v>3000000</v>
      </c>
      <c r="AF81" s="38"/>
      <c r="AG81" s="38"/>
      <c r="AH81" s="273">
        <v>3000000</v>
      </c>
      <c r="AI81" s="266">
        <f t="shared" si="87"/>
        <v>568.35384352877372</v>
      </c>
      <c r="AJ81" s="267">
        <f t="shared" si="69"/>
        <v>3.0000000000000068E-2</v>
      </c>
      <c r="AK81" s="271">
        <f t="shared" si="70"/>
        <v>2582.3530722656287</v>
      </c>
      <c r="AL81" s="270">
        <f t="shared" si="71"/>
        <v>0.15252102144000015</v>
      </c>
      <c r="AM81" s="266">
        <f t="shared" si="88"/>
        <v>585.4044588346369</v>
      </c>
      <c r="AN81" s="267">
        <f t="shared" si="72"/>
        <v>3.0000000000000065E-2</v>
      </c>
      <c r="AO81" s="271">
        <f t="shared" si="73"/>
        <v>3167.7575311002656</v>
      </c>
      <c r="AP81" s="270">
        <f t="shared" si="74"/>
        <v>0.18709665208320023</v>
      </c>
      <c r="AQ81" s="269">
        <f t="shared" si="89"/>
        <v>602.96659259967419</v>
      </c>
      <c r="AR81" s="268">
        <f t="shared" si="75"/>
        <v>2.9999999999999971E-2</v>
      </c>
      <c r="AS81" s="269">
        <f t="shared" si="76"/>
        <v>3770.7241236999398</v>
      </c>
      <c r="AT81" s="274">
        <f t="shared" si="77"/>
        <v>0.2227095516456962</v>
      </c>
      <c r="AU81" s="340"/>
    </row>
    <row r="82" spans="1:47" ht="13.5" thickTop="1" x14ac:dyDescent="0.2">
      <c r="A82" s="26"/>
      <c r="B82" s="38"/>
      <c r="C82" s="338"/>
      <c r="D82" s="353"/>
      <c r="E82" s="276"/>
      <c r="F82" s="338"/>
      <c r="G82" s="338"/>
      <c r="H82" s="338"/>
      <c r="I82" s="338"/>
      <c r="J82" s="338"/>
      <c r="K82" s="338"/>
      <c r="L82" s="338"/>
      <c r="M82" s="338"/>
      <c r="N82" s="38"/>
      <c r="O82" s="38"/>
      <c r="P82" s="276"/>
      <c r="Q82" s="345"/>
      <c r="R82" s="346"/>
      <c r="S82" s="345"/>
      <c r="T82" s="346"/>
      <c r="U82" s="345"/>
      <c r="V82" s="346"/>
      <c r="W82" s="345"/>
      <c r="X82" s="346"/>
      <c r="Y82" s="339"/>
      <c r="Z82" s="346"/>
      <c r="AA82" s="339"/>
      <c r="AB82" s="340"/>
      <c r="AC82" s="339"/>
      <c r="AD82" s="340"/>
      <c r="AE82" s="276"/>
      <c r="AF82" s="38"/>
      <c r="AG82" s="38"/>
      <c r="AH82" s="276"/>
      <c r="AI82" s="339"/>
      <c r="AJ82" s="340"/>
      <c r="AK82" s="339"/>
      <c r="AL82" s="340"/>
      <c r="AM82" s="339"/>
      <c r="AN82" s="340"/>
      <c r="AO82" s="339"/>
      <c r="AP82" s="340"/>
      <c r="AQ82" s="339"/>
      <c r="AR82" s="340"/>
      <c r="AS82" s="339"/>
      <c r="AT82" s="340"/>
      <c r="AU82" s="340"/>
    </row>
    <row r="83" spans="1:47" ht="15.75" x14ac:dyDescent="0.25">
      <c r="A83" s="26"/>
      <c r="B83" s="38"/>
      <c r="C83" s="84" t="s">
        <v>2</v>
      </c>
      <c r="D83" s="38"/>
      <c r="E83" s="222"/>
      <c r="F83" s="38"/>
      <c r="G83" s="38"/>
      <c r="H83" s="38"/>
      <c r="I83" s="38"/>
      <c r="J83" s="38"/>
      <c r="K83" s="38"/>
      <c r="L83" s="38"/>
      <c r="M83" s="38"/>
      <c r="N83" s="38"/>
      <c r="O83" s="38"/>
      <c r="P83" s="84" t="s">
        <v>2</v>
      </c>
      <c r="Q83" s="38"/>
      <c r="R83" s="38"/>
      <c r="S83" s="38"/>
      <c r="T83" s="38"/>
      <c r="U83" s="38"/>
      <c r="V83" s="38"/>
      <c r="W83" s="38"/>
      <c r="X83" s="38"/>
      <c r="Y83" s="38"/>
      <c r="Z83" s="38"/>
      <c r="AA83" s="38"/>
      <c r="AB83" s="38"/>
      <c r="AC83" s="38"/>
      <c r="AD83" s="38"/>
      <c r="AE83" s="38"/>
      <c r="AF83" s="38"/>
      <c r="AG83" s="38"/>
      <c r="AH83" s="84" t="s">
        <v>2</v>
      </c>
      <c r="AI83" s="38"/>
      <c r="AJ83" s="38"/>
      <c r="AK83" s="38"/>
      <c r="AL83" s="38"/>
      <c r="AM83" s="38"/>
      <c r="AN83" s="38"/>
      <c r="AO83" s="38"/>
      <c r="AP83" s="38"/>
      <c r="AQ83" s="38"/>
      <c r="AR83" s="38"/>
      <c r="AS83" s="38"/>
      <c r="AT83" s="38"/>
      <c r="AU83" s="38"/>
    </row>
    <row r="84" spans="1:47" ht="16.5" thickBot="1" x14ac:dyDescent="0.3">
      <c r="A84" s="26"/>
      <c r="B84" s="38"/>
      <c r="C84" s="84"/>
      <c r="D84" s="38"/>
      <c r="E84" s="222"/>
      <c r="F84" s="38"/>
      <c r="G84" s="38"/>
      <c r="H84" s="38"/>
      <c r="I84" s="38"/>
      <c r="J84" s="38"/>
      <c r="K84" s="38"/>
      <c r="L84" s="38"/>
      <c r="M84" s="38"/>
      <c r="N84" s="38"/>
      <c r="O84" s="38"/>
      <c r="P84" s="38"/>
      <c r="Q84" s="277"/>
      <c r="R84" s="277"/>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row>
    <row r="85" spans="1:47" ht="17.25" thickTop="1" thickBot="1" x14ac:dyDescent="0.3">
      <c r="A85" s="26"/>
      <c r="B85" s="38"/>
      <c r="C85" s="38"/>
      <c r="D85" s="38"/>
      <c r="E85" s="222"/>
      <c r="F85" s="226"/>
      <c r="G85" s="227"/>
      <c r="H85" s="814" t="s">
        <v>402</v>
      </c>
      <c r="I85" s="815"/>
      <c r="J85" s="815"/>
      <c r="K85" s="815"/>
      <c r="L85" s="815"/>
      <c r="M85" s="816"/>
      <c r="N85" s="38"/>
      <c r="O85" s="38"/>
      <c r="P85" s="38"/>
      <c r="Q85" s="820" t="s">
        <v>906</v>
      </c>
      <c r="R85" s="821"/>
      <c r="S85" s="821"/>
      <c r="T85" s="821"/>
      <c r="U85" s="821"/>
      <c r="V85" s="821"/>
      <c r="W85" s="821"/>
      <c r="X85" s="821"/>
      <c r="Y85" s="821"/>
      <c r="Z85" s="821"/>
      <c r="AA85" s="821"/>
      <c r="AB85" s="821"/>
      <c r="AC85" s="821"/>
      <c r="AD85" s="822"/>
      <c r="AE85" s="228"/>
      <c r="AF85" s="38"/>
      <c r="AG85" s="38"/>
      <c r="AH85" s="820" t="s">
        <v>906</v>
      </c>
      <c r="AI85" s="821"/>
      <c r="AJ85" s="821"/>
      <c r="AK85" s="821"/>
      <c r="AL85" s="821"/>
      <c r="AM85" s="821"/>
      <c r="AN85" s="821"/>
      <c r="AO85" s="821"/>
      <c r="AP85" s="821"/>
      <c r="AQ85" s="821"/>
      <c r="AR85" s="821"/>
      <c r="AS85" s="821"/>
      <c r="AT85" s="822"/>
      <c r="AU85" s="352"/>
    </row>
    <row r="86" spans="1:47" ht="56.25" customHeight="1" thickTop="1" x14ac:dyDescent="0.2">
      <c r="A86" s="26"/>
      <c r="B86" s="38"/>
      <c r="C86" s="230" t="s">
        <v>389</v>
      </c>
      <c r="D86" s="834" t="s">
        <v>888</v>
      </c>
      <c r="E86" s="231" t="s">
        <v>393</v>
      </c>
      <c r="F86" s="232" t="s">
        <v>410</v>
      </c>
      <c r="G86" s="233" t="s">
        <v>919</v>
      </c>
      <c r="H86" s="233" t="s">
        <v>920</v>
      </c>
      <c r="I86" s="233" t="s">
        <v>921</v>
      </c>
      <c r="J86" s="233" t="s">
        <v>922</v>
      </c>
      <c r="K86" s="233" t="s">
        <v>923</v>
      </c>
      <c r="L86" s="233" t="s">
        <v>924</v>
      </c>
      <c r="M86" s="234" t="s">
        <v>925</v>
      </c>
      <c r="N86" s="38"/>
      <c r="O86" s="38"/>
      <c r="P86" s="235" t="s">
        <v>393</v>
      </c>
      <c r="Q86" s="837" t="s">
        <v>394</v>
      </c>
      <c r="R86" s="826"/>
      <c r="S86" s="831" t="s">
        <v>395</v>
      </c>
      <c r="T86" s="832"/>
      <c r="U86" s="832"/>
      <c r="V86" s="833"/>
      <c r="W86" s="794" t="s">
        <v>396</v>
      </c>
      <c r="X86" s="826"/>
      <c r="Y86" s="826"/>
      <c r="Z86" s="826"/>
      <c r="AA86" s="831" t="s">
        <v>397</v>
      </c>
      <c r="AB86" s="832"/>
      <c r="AC86" s="832"/>
      <c r="AD86" s="836"/>
      <c r="AE86" s="278" t="s">
        <v>393</v>
      </c>
      <c r="AF86" s="38"/>
      <c r="AG86" s="38"/>
      <c r="AH86" s="238" t="s">
        <v>393</v>
      </c>
      <c r="AI86" s="831" t="s">
        <v>398</v>
      </c>
      <c r="AJ86" s="832"/>
      <c r="AK86" s="832"/>
      <c r="AL86" s="833"/>
      <c r="AM86" s="831" t="s">
        <v>399</v>
      </c>
      <c r="AN86" s="832"/>
      <c r="AO86" s="832"/>
      <c r="AP86" s="833"/>
      <c r="AQ86" s="794" t="s">
        <v>400</v>
      </c>
      <c r="AR86" s="826"/>
      <c r="AS86" s="826"/>
      <c r="AT86" s="827"/>
      <c r="AU86" s="236"/>
    </row>
    <row r="87" spans="1:47" ht="12.75" x14ac:dyDescent="0.2">
      <c r="A87" s="26"/>
      <c r="B87" s="38"/>
      <c r="C87" s="239"/>
      <c r="D87" s="835"/>
      <c r="E87" s="240"/>
      <c r="F87" s="160" t="str">
        <f>F67</f>
        <v>2014/15</v>
      </c>
      <c r="G87" s="160" t="str">
        <f t="shared" ref="G87:M87" si="90">G67</f>
        <v>2015/16</v>
      </c>
      <c r="H87" s="160" t="str">
        <f t="shared" si="90"/>
        <v>2016/17</v>
      </c>
      <c r="I87" s="160" t="str">
        <f t="shared" si="90"/>
        <v>2017/18</v>
      </c>
      <c r="J87" s="160" t="str">
        <f t="shared" si="90"/>
        <v>2018/19</v>
      </c>
      <c r="K87" s="160" t="str">
        <f t="shared" si="90"/>
        <v>2019/20</v>
      </c>
      <c r="L87" s="160" t="str">
        <f t="shared" si="90"/>
        <v>2020/21</v>
      </c>
      <c r="M87" s="182" t="str">
        <f t="shared" si="90"/>
        <v>2021/22</v>
      </c>
      <c r="N87" s="38"/>
      <c r="O87" s="38"/>
      <c r="P87" s="241" t="s">
        <v>129</v>
      </c>
      <c r="Q87" s="242" t="s">
        <v>102</v>
      </c>
      <c r="R87" s="243" t="s">
        <v>125</v>
      </c>
      <c r="S87" s="242" t="s">
        <v>102</v>
      </c>
      <c r="T87" s="247" t="s">
        <v>125</v>
      </c>
      <c r="U87" s="244" t="s">
        <v>103</v>
      </c>
      <c r="V87" s="246" t="s">
        <v>125</v>
      </c>
      <c r="W87" s="245" t="s">
        <v>102</v>
      </c>
      <c r="X87" s="247" t="s">
        <v>125</v>
      </c>
      <c r="Y87" s="244" t="s">
        <v>103</v>
      </c>
      <c r="Z87" s="243" t="s">
        <v>125</v>
      </c>
      <c r="AA87" s="242" t="s">
        <v>102</v>
      </c>
      <c r="AB87" s="247" t="s">
        <v>125</v>
      </c>
      <c r="AC87" s="244" t="s">
        <v>103</v>
      </c>
      <c r="AD87" s="248" t="s">
        <v>125</v>
      </c>
      <c r="AE87" s="279"/>
      <c r="AF87" s="38"/>
      <c r="AG87" s="38"/>
      <c r="AH87" s="250" t="s">
        <v>129</v>
      </c>
      <c r="AI87" s="242" t="s">
        <v>102</v>
      </c>
      <c r="AJ87" s="247" t="s">
        <v>125</v>
      </c>
      <c r="AK87" s="244" t="s">
        <v>103</v>
      </c>
      <c r="AL87" s="246" t="s">
        <v>125</v>
      </c>
      <c r="AM87" s="242" t="s">
        <v>102</v>
      </c>
      <c r="AN87" s="247" t="s">
        <v>125</v>
      </c>
      <c r="AO87" s="244" t="s">
        <v>103</v>
      </c>
      <c r="AP87" s="246" t="s">
        <v>125</v>
      </c>
      <c r="AQ87" s="245" t="s">
        <v>102</v>
      </c>
      <c r="AR87" s="247" t="s">
        <v>125</v>
      </c>
      <c r="AS87" s="244" t="s">
        <v>103</v>
      </c>
      <c r="AT87" s="248" t="s">
        <v>125</v>
      </c>
      <c r="AU87" s="351"/>
    </row>
    <row r="88" spans="1:47" ht="12.75" x14ac:dyDescent="0.2">
      <c r="A88" s="26"/>
      <c r="B88" s="38"/>
      <c r="C88" s="252" t="s">
        <v>14</v>
      </c>
      <c r="D88" s="354">
        <f>IF(D68="","",D68)</f>
        <v>587</v>
      </c>
      <c r="E88" s="253">
        <v>50000</v>
      </c>
      <c r="F88" s="23">
        <f>+F68</f>
        <v>466.13841317893468</v>
      </c>
      <c r="G88" s="23">
        <f>+F88*1.03</f>
        <v>480.12256557430271</v>
      </c>
      <c r="H88" s="23">
        <f t="shared" ref="H88:M88" si="91">+G88*1.03</f>
        <v>494.52624254153181</v>
      </c>
      <c r="I88" s="23">
        <f t="shared" si="91"/>
        <v>509.3620298177778</v>
      </c>
      <c r="J88" s="23">
        <f t="shared" si="91"/>
        <v>524.6428907123111</v>
      </c>
      <c r="K88" s="23">
        <f t="shared" si="91"/>
        <v>540.38217743368045</v>
      </c>
      <c r="L88" s="23">
        <f t="shared" si="91"/>
        <v>556.59364275669088</v>
      </c>
      <c r="M88" s="23">
        <f t="shared" si="91"/>
        <v>573.29145203939163</v>
      </c>
      <c r="N88" s="38"/>
      <c r="O88" s="38"/>
      <c r="P88" s="254">
        <v>50000</v>
      </c>
      <c r="Q88" s="255">
        <f>IF(G88="","",IF(F88=0,"",G88-F88))</f>
        <v>13.984152395368028</v>
      </c>
      <c r="R88" s="256">
        <f t="shared" ref="R88:R101" si="92">IF(Q88="","",Q88/F88)</f>
        <v>2.9999999999999975E-2</v>
      </c>
      <c r="S88" s="255">
        <f>IF(H88="","",IF(G88=0,"",H88-G88))</f>
        <v>14.403676967229103</v>
      </c>
      <c r="T88" s="256">
        <f t="shared" ref="T88:T101" si="93">IF(S88="","",S88/G88)</f>
        <v>3.0000000000000044E-2</v>
      </c>
      <c r="U88" s="260">
        <f>IF(S88="","",S88+Q88)</f>
        <v>28.387829362597131</v>
      </c>
      <c r="V88" s="259">
        <f t="shared" ref="V88:V101" si="94">IF(T88="","",U88/F88)</f>
        <v>6.0900000000000017E-2</v>
      </c>
      <c r="W88" s="258">
        <f>IF(I88="","",IF(H88=0,"",I88-H88))</f>
        <v>14.835787276245981</v>
      </c>
      <c r="X88" s="256">
        <f t="shared" ref="X88:X101" si="95">IF(W88="","",W88/H88)</f>
        <v>3.0000000000000054E-2</v>
      </c>
      <c r="Y88" s="260">
        <f>IF(W88="","",W88+U88)</f>
        <v>43.223616638843112</v>
      </c>
      <c r="Z88" s="256">
        <f t="shared" ref="Z88:Z101" si="96">IF(X88="","",Y88/F88)</f>
        <v>9.2727000000000073E-2</v>
      </c>
      <c r="AA88" s="255">
        <f>IF(J88="","",IF(I88=0,"",J88-I88))</f>
        <v>15.280860894533305</v>
      </c>
      <c r="AB88" s="256">
        <f t="shared" ref="AB88:AB101" si="97">IF(AA88="","",AA88/I88)</f>
        <v>2.9999999999999943E-2</v>
      </c>
      <c r="AC88" s="260">
        <f>IF(AA88="","",AA88+Y88)</f>
        <v>58.504477533376416</v>
      </c>
      <c r="AD88" s="261">
        <f t="shared" ref="AD88:AD101" si="98">IF(AB88="","",AC88/F88)</f>
        <v>0.12550881000000003</v>
      </c>
      <c r="AE88" s="280">
        <v>50000</v>
      </c>
      <c r="AF88" s="38"/>
      <c r="AG88" s="38"/>
      <c r="AH88" s="263">
        <v>50000</v>
      </c>
      <c r="AI88" s="255">
        <f>IF(K88="","",IF(J88=0,"",K88-J88))</f>
        <v>15.739286721369353</v>
      </c>
      <c r="AJ88" s="256">
        <f t="shared" ref="AJ88:AJ101" si="99">IF(AI88="","",AI88/J88)</f>
        <v>3.0000000000000041E-2</v>
      </c>
      <c r="AK88" s="260">
        <f t="shared" ref="AK88:AK101" si="100">IF(AI88="","",AI88+AC88)</f>
        <v>74.24376425474577</v>
      </c>
      <c r="AL88" s="259">
        <f t="shared" ref="AL88:AL101" si="101">IF(AK88="","",AK88/F88)</f>
        <v>0.15927407430000007</v>
      </c>
      <c r="AM88" s="255">
        <f>IF(L88="","",IF(K88=0,"",L88-K88))</f>
        <v>16.21146532301043</v>
      </c>
      <c r="AN88" s="256">
        <f t="shared" ref="AN88:AN101" si="102">IF(AM88="","",AM88/K88)</f>
        <v>3.000000000000003E-2</v>
      </c>
      <c r="AO88" s="260">
        <f t="shared" ref="AO88:AO101" si="103">IF(AM88="","",AM88+AK88)</f>
        <v>90.455229577756199</v>
      </c>
      <c r="AP88" s="259">
        <f t="shared" ref="AP88:AP101" si="104">IF(AO88="","",AO88/F88)</f>
        <v>0.19405229652900011</v>
      </c>
      <c r="AQ88" s="258">
        <f>IF(M88="","",IF(L88=0,"",M88-L88))</f>
        <v>16.697809282700746</v>
      </c>
      <c r="AR88" s="257">
        <f t="shared" ref="AR88:AR101" si="105">IF(AQ88="","",AQ88/L88)</f>
        <v>3.0000000000000034E-2</v>
      </c>
      <c r="AS88" s="258">
        <f t="shared" ref="AS88:AS101" si="106">IF(AQ88="","",AQ88+AO88)</f>
        <v>107.15303886045695</v>
      </c>
      <c r="AT88" s="261">
        <f t="shared" ref="AT88:AT101" si="107">IF(AS88="","",AS88/F88)</f>
        <v>0.22987386542487015</v>
      </c>
      <c r="AU88" s="340"/>
    </row>
    <row r="89" spans="1:47" ht="12.75" x14ac:dyDescent="0.2">
      <c r="A89" s="26"/>
      <c r="B89" s="38"/>
      <c r="C89" s="252" t="s">
        <v>380</v>
      </c>
      <c r="D89" s="354">
        <f t="shared" ref="D89:D101" si="108">IF(D69="","",D69)</f>
        <v>471</v>
      </c>
      <c r="E89" s="253">
        <v>150000</v>
      </c>
      <c r="F89" s="23">
        <f t="shared" ref="F89:F101" si="109">+F69</f>
        <v>1028.5158673470394</v>
      </c>
      <c r="G89" s="23">
        <f t="shared" ref="G89:M101" si="110">+F89*1.03</f>
        <v>1059.3713433674507</v>
      </c>
      <c r="H89" s="23">
        <f t="shared" si="110"/>
        <v>1091.1524836684741</v>
      </c>
      <c r="I89" s="23">
        <f t="shared" si="110"/>
        <v>1123.8870581785284</v>
      </c>
      <c r="J89" s="23">
        <f t="shared" si="110"/>
        <v>1157.6036699238844</v>
      </c>
      <c r="K89" s="23">
        <f t="shared" si="110"/>
        <v>1192.3317800216009</v>
      </c>
      <c r="L89" s="23">
        <f t="shared" si="110"/>
        <v>1228.101733422249</v>
      </c>
      <c r="M89" s="23">
        <f t="shared" si="110"/>
        <v>1264.9447854249165</v>
      </c>
      <c r="N89" s="38"/>
      <c r="O89" s="38"/>
      <c r="P89" s="254">
        <v>150000</v>
      </c>
      <c r="Q89" s="255">
        <f t="shared" ref="Q89:Q101" si="111">IF(G89="","",IF(F89=0,"",G89-F89))</f>
        <v>30.855476020411288</v>
      </c>
      <c r="R89" s="256">
        <f t="shared" si="92"/>
        <v>3.0000000000000103E-2</v>
      </c>
      <c r="S89" s="255">
        <f t="shared" ref="S89:S101" si="112">IF(H89="","",IF(G89=0,"",H89-G89))</f>
        <v>31.78114030102347</v>
      </c>
      <c r="T89" s="256">
        <f t="shared" si="93"/>
        <v>2.9999999999999954E-2</v>
      </c>
      <c r="U89" s="260">
        <f t="shared" ref="U89:U101" si="113">IF(S89="","",S89+Q89)</f>
        <v>62.636616321434758</v>
      </c>
      <c r="V89" s="259">
        <f t="shared" si="94"/>
        <v>6.0900000000000058E-2</v>
      </c>
      <c r="W89" s="258">
        <f t="shared" ref="W89:W101" si="114">IF(I89="","",IF(H89=0,"",I89-H89))</f>
        <v>32.734574510054244</v>
      </c>
      <c r="X89" s="256">
        <f t="shared" si="95"/>
        <v>3.000000000000002E-2</v>
      </c>
      <c r="Y89" s="260">
        <f t="shared" ref="Y89:Y101" si="115">IF(W89="","",W89+U89)</f>
        <v>95.371190831489002</v>
      </c>
      <c r="Z89" s="256">
        <f t="shared" si="96"/>
        <v>9.2727000000000073E-2</v>
      </c>
      <c r="AA89" s="255">
        <f t="shared" ref="AA89:AA101" si="116">IF(J89="","",IF(I89=0,"",J89-I89))</f>
        <v>33.716611745355976</v>
      </c>
      <c r="AB89" s="256">
        <f t="shared" si="97"/>
        <v>3.000000000000011E-2</v>
      </c>
      <c r="AC89" s="260">
        <f t="shared" ref="AC89:AC101" si="117">IF(AA89="","",AA89+Y89)</f>
        <v>129.08780257684498</v>
      </c>
      <c r="AD89" s="261">
        <f t="shared" si="98"/>
        <v>0.12550881000000019</v>
      </c>
      <c r="AE89" s="280">
        <v>150000</v>
      </c>
      <c r="AF89" s="38"/>
      <c r="AG89" s="38"/>
      <c r="AH89" s="263">
        <v>150000</v>
      </c>
      <c r="AI89" s="255">
        <f t="shared" ref="AI89:AI101" si="118">IF(K89="","",IF(J89=0,"",K89-J89))</f>
        <v>34.728110097716581</v>
      </c>
      <c r="AJ89" s="256">
        <f t="shared" si="99"/>
        <v>3.0000000000000044E-2</v>
      </c>
      <c r="AK89" s="260">
        <f t="shared" si="100"/>
        <v>163.81591267456156</v>
      </c>
      <c r="AL89" s="259">
        <f t="shared" si="101"/>
        <v>0.15927407430000026</v>
      </c>
      <c r="AM89" s="255">
        <f t="shared" ref="AM89:AM101" si="119">IF(L89="","",IF(K89=0,"",L89-K89))</f>
        <v>35.769953400648092</v>
      </c>
      <c r="AN89" s="256">
        <f t="shared" si="102"/>
        <v>3.0000000000000054E-2</v>
      </c>
      <c r="AO89" s="260">
        <f t="shared" si="103"/>
        <v>199.58586607520965</v>
      </c>
      <c r="AP89" s="259">
        <f t="shared" si="104"/>
        <v>0.19405229652900033</v>
      </c>
      <c r="AQ89" s="258">
        <f t="shared" ref="AQ89:AQ101" si="120">IF(M89="","",IF(L89=0,"",M89-L89))</f>
        <v>36.843052002667491</v>
      </c>
      <c r="AR89" s="257">
        <f t="shared" si="105"/>
        <v>3.0000000000000016E-2</v>
      </c>
      <c r="AS89" s="258">
        <f t="shared" si="106"/>
        <v>236.42891807787714</v>
      </c>
      <c r="AT89" s="261">
        <f t="shared" si="107"/>
        <v>0.22987386542487037</v>
      </c>
      <c r="AU89" s="340"/>
    </row>
    <row r="90" spans="1:47" ht="12.75" x14ac:dyDescent="0.2">
      <c r="A90" s="26"/>
      <c r="B90" s="38"/>
      <c r="C90" s="252" t="s">
        <v>381</v>
      </c>
      <c r="D90" s="354">
        <f t="shared" si="108"/>
        <v>463</v>
      </c>
      <c r="E90" s="253">
        <v>250000</v>
      </c>
      <c r="F90" s="23">
        <f t="shared" si="109"/>
        <v>1534.0346924784105</v>
      </c>
      <c r="G90" s="23">
        <f t="shared" si="110"/>
        <v>1580.0557332527628</v>
      </c>
      <c r="H90" s="23">
        <f t="shared" si="110"/>
        <v>1627.4574052503458</v>
      </c>
      <c r="I90" s="23">
        <f t="shared" si="110"/>
        <v>1676.2811274078563</v>
      </c>
      <c r="J90" s="23">
        <f t="shared" si="110"/>
        <v>1726.5695612300919</v>
      </c>
      <c r="K90" s="23">
        <f t="shared" si="110"/>
        <v>1778.3666480669947</v>
      </c>
      <c r="L90" s="23">
        <f t="shared" si="110"/>
        <v>1831.7176475090046</v>
      </c>
      <c r="M90" s="23">
        <f t="shared" si="110"/>
        <v>1886.6691769342747</v>
      </c>
      <c r="N90" s="38"/>
      <c r="O90" s="38"/>
      <c r="P90" s="254">
        <v>250000</v>
      </c>
      <c r="Q90" s="255">
        <f t="shared" si="111"/>
        <v>46.021040774352286</v>
      </c>
      <c r="R90" s="256">
        <f t="shared" si="92"/>
        <v>2.9999999999999982E-2</v>
      </c>
      <c r="S90" s="255">
        <f t="shared" si="112"/>
        <v>47.40167199758298</v>
      </c>
      <c r="T90" s="256">
        <f t="shared" si="93"/>
        <v>3.0000000000000061E-2</v>
      </c>
      <c r="U90" s="260">
        <f t="shared" si="113"/>
        <v>93.422712771935267</v>
      </c>
      <c r="V90" s="259">
        <f t="shared" si="94"/>
        <v>6.0900000000000044E-2</v>
      </c>
      <c r="W90" s="258">
        <f t="shared" si="114"/>
        <v>48.823722157510474</v>
      </c>
      <c r="X90" s="256">
        <f t="shared" si="95"/>
        <v>3.0000000000000061E-2</v>
      </c>
      <c r="Y90" s="260">
        <f t="shared" si="115"/>
        <v>142.24643492944574</v>
      </c>
      <c r="Z90" s="256">
        <f t="shared" si="96"/>
        <v>9.2727000000000115E-2</v>
      </c>
      <c r="AA90" s="255">
        <f t="shared" si="116"/>
        <v>50.288433822235675</v>
      </c>
      <c r="AB90" s="256">
        <f t="shared" si="97"/>
        <v>2.9999999999999992E-2</v>
      </c>
      <c r="AC90" s="260">
        <f t="shared" si="117"/>
        <v>192.53486875168142</v>
      </c>
      <c r="AD90" s="261">
        <f t="shared" si="98"/>
        <v>0.12550881000000011</v>
      </c>
      <c r="AE90" s="280">
        <v>250000</v>
      </c>
      <c r="AF90" s="38"/>
      <c r="AG90" s="38"/>
      <c r="AH90" s="263">
        <v>250000</v>
      </c>
      <c r="AI90" s="255">
        <f t="shared" si="118"/>
        <v>51.797086836902736</v>
      </c>
      <c r="AJ90" s="256">
        <f t="shared" si="99"/>
        <v>2.9999999999999988E-2</v>
      </c>
      <c r="AK90" s="260">
        <f t="shared" si="100"/>
        <v>244.33195558858415</v>
      </c>
      <c r="AL90" s="259">
        <f t="shared" si="101"/>
        <v>0.1592740743000001</v>
      </c>
      <c r="AM90" s="255">
        <f t="shared" si="119"/>
        <v>53.350999442009879</v>
      </c>
      <c r="AN90" s="256">
        <f t="shared" si="102"/>
        <v>3.0000000000000023E-2</v>
      </c>
      <c r="AO90" s="260">
        <f t="shared" si="103"/>
        <v>297.68295503059403</v>
      </c>
      <c r="AP90" s="259">
        <f t="shared" si="104"/>
        <v>0.19405229652900011</v>
      </c>
      <c r="AQ90" s="258">
        <f t="shared" si="120"/>
        <v>54.95152942527011</v>
      </c>
      <c r="AR90" s="257">
        <f t="shared" si="105"/>
        <v>2.9999999999999985E-2</v>
      </c>
      <c r="AS90" s="258">
        <f t="shared" si="106"/>
        <v>352.63448445586414</v>
      </c>
      <c r="AT90" s="261">
        <f t="shared" si="107"/>
        <v>0.22987386542487009</v>
      </c>
      <c r="AU90" s="340"/>
    </row>
    <row r="91" spans="1:47" ht="12.75" x14ac:dyDescent="0.2">
      <c r="A91" s="26"/>
      <c r="B91" s="38"/>
      <c r="C91" s="252" t="s">
        <v>382</v>
      </c>
      <c r="D91" s="354">
        <f t="shared" si="108"/>
        <v>241</v>
      </c>
      <c r="E91" s="253">
        <v>350000</v>
      </c>
      <c r="F91" s="23">
        <f t="shared" si="109"/>
        <v>1961.067374793616</v>
      </c>
      <c r="G91" s="23">
        <f t="shared" si="110"/>
        <v>2019.8993960374246</v>
      </c>
      <c r="H91" s="23">
        <f t="shared" si="110"/>
        <v>2080.4963779185473</v>
      </c>
      <c r="I91" s="23">
        <f t="shared" si="110"/>
        <v>2142.9112692561039</v>
      </c>
      <c r="J91" s="23">
        <f t="shared" si="110"/>
        <v>2207.1986073337871</v>
      </c>
      <c r="K91" s="23">
        <f t="shared" si="110"/>
        <v>2273.4145655538009</v>
      </c>
      <c r="L91" s="23">
        <f t="shared" si="110"/>
        <v>2341.6170025204151</v>
      </c>
      <c r="M91" s="23">
        <f t="shared" si="110"/>
        <v>2411.8655125960277</v>
      </c>
      <c r="N91" s="38"/>
      <c r="O91" s="38"/>
      <c r="P91" s="254">
        <v>350000</v>
      </c>
      <c r="Q91" s="255">
        <f t="shared" si="111"/>
        <v>58.83202124380864</v>
      </c>
      <c r="R91" s="256">
        <f t="shared" si="92"/>
        <v>3.0000000000000082E-2</v>
      </c>
      <c r="S91" s="255">
        <f t="shared" si="112"/>
        <v>60.596981881122701</v>
      </c>
      <c r="T91" s="256">
        <f t="shared" si="93"/>
        <v>2.9999999999999982E-2</v>
      </c>
      <c r="U91" s="260">
        <f t="shared" si="113"/>
        <v>119.42900312493134</v>
      </c>
      <c r="V91" s="259">
        <f t="shared" si="94"/>
        <v>6.0900000000000065E-2</v>
      </c>
      <c r="W91" s="258">
        <f t="shared" si="114"/>
        <v>62.414891337556583</v>
      </c>
      <c r="X91" s="256">
        <f t="shared" si="95"/>
        <v>3.0000000000000079E-2</v>
      </c>
      <c r="Y91" s="260">
        <f t="shared" si="115"/>
        <v>181.84389446248792</v>
      </c>
      <c r="Z91" s="256">
        <f t="shared" si="96"/>
        <v>9.2727000000000157E-2</v>
      </c>
      <c r="AA91" s="255">
        <f t="shared" si="116"/>
        <v>64.287338077683216</v>
      </c>
      <c r="AB91" s="256">
        <f t="shared" si="97"/>
        <v>3.0000000000000047E-2</v>
      </c>
      <c r="AC91" s="260">
        <f t="shared" si="117"/>
        <v>246.13123254017114</v>
      </c>
      <c r="AD91" s="261">
        <f t="shared" si="98"/>
        <v>0.12550881000000022</v>
      </c>
      <c r="AE91" s="280">
        <v>350000</v>
      </c>
      <c r="AF91" s="38"/>
      <c r="AG91" s="38"/>
      <c r="AH91" s="263">
        <v>350000</v>
      </c>
      <c r="AI91" s="255">
        <f t="shared" si="118"/>
        <v>66.215958220013817</v>
      </c>
      <c r="AJ91" s="256">
        <f t="shared" si="99"/>
        <v>3.0000000000000093E-2</v>
      </c>
      <c r="AK91" s="260">
        <f t="shared" si="100"/>
        <v>312.34719076018496</v>
      </c>
      <c r="AL91" s="259">
        <f t="shared" si="101"/>
        <v>0.15927407430000032</v>
      </c>
      <c r="AM91" s="255">
        <f t="shared" si="119"/>
        <v>68.202436966614187</v>
      </c>
      <c r="AN91" s="256">
        <f t="shared" si="102"/>
        <v>3.0000000000000068E-2</v>
      </c>
      <c r="AO91" s="260">
        <f t="shared" si="103"/>
        <v>380.54962772679914</v>
      </c>
      <c r="AP91" s="259">
        <f t="shared" si="104"/>
        <v>0.19405229652900041</v>
      </c>
      <c r="AQ91" s="258">
        <f t="shared" si="120"/>
        <v>70.248510075612558</v>
      </c>
      <c r="AR91" s="257">
        <f t="shared" si="105"/>
        <v>3.0000000000000044E-2</v>
      </c>
      <c r="AS91" s="258">
        <f t="shared" si="106"/>
        <v>450.7981378024117</v>
      </c>
      <c r="AT91" s="261">
        <f t="shared" si="107"/>
        <v>0.22987386542487048</v>
      </c>
      <c r="AU91" s="340"/>
    </row>
    <row r="92" spans="1:47" ht="12.75" x14ac:dyDescent="0.2">
      <c r="A92" s="26"/>
      <c r="B92" s="38"/>
      <c r="C92" s="252" t="s">
        <v>383</v>
      </c>
      <c r="D92" s="354">
        <f t="shared" si="108"/>
        <v>182</v>
      </c>
      <c r="E92" s="253">
        <v>450000</v>
      </c>
      <c r="F92" s="23">
        <f t="shared" si="109"/>
        <v>2502.3073373771649</v>
      </c>
      <c r="G92" s="23">
        <f t="shared" si="110"/>
        <v>2577.37655749848</v>
      </c>
      <c r="H92" s="23">
        <f t="shared" si="110"/>
        <v>2654.6978542234347</v>
      </c>
      <c r="I92" s="23">
        <f t="shared" si="110"/>
        <v>2734.3387898501378</v>
      </c>
      <c r="J92" s="23">
        <f t="shared" si="110"/>
        <v>2816.3689535456419</v>
      </c>
      <c r="K92" s="23">
        <f t="shared" si="110"/>
        <v>2900.8600221520114</v>
      </c>
      <c r="L92" s="23">
        <f t="shared" si="110"/>
        <v>2987.8858228165718</v>
      </c>
      <c r="M92" s="23">
        <f t="shared" si="110"/>
        <v>3077.522397501069</v>
      </c>
      <c r="N92" s="38"/>
      <c r="O92" s="38"/>
      <c r="P92" s="254">
        <v>450000</v>
      </c>
      <c r="Q92" s="255">
        <f t="shared" si="111"/>
        <v>75.069220121315084</v>
      </c>
      <c r="R92" s="256">
        <f t="shared" si="92"/>
        <v>3.0000000000000054E-2</v>
      </c>
      <c r="S92" s="255">
        <f t="shared" si="112"/>
        <v>77.321296724954664</v>
      </c>
      <c r="T92" s="256">
        <f t="shared" si="93"/>
        <v>3.0000000000000103E-2</v>
      </c>
      <c r="U92" s="260">
        <f t="shared" si="113"/>
        <v>152.39051684626975</v>
      </c>
      <c r="V92" s="259">
        <f t="shared" si="94"/>
        <v>6.0900000000000162E-2</v>
      </c>
      <c r="W92" s="258">
        <f t="shared" si="114"/>
        <v>79.64093562670314</v>
      </c>
      <c r="X92" s="256">
        <f t="shared" si="95"/>
        <v>3.0000000000000037E-2</v>
      </c>
      <c r="Y92" s="260">
        <f t="shared" si="115"/>
        <v>232.03145247297289</v>
      </c>
      <c r="Z92" s="256">
        <f t="shared" si="96"/>
        <v>9.2727000000000212E-2</v>
      </c>
      <c r="AA92" s="255">
        <f t="shared" si="116"/>
        <v>82.030163695504143</v>
      </c>
      <c r="AB92" s="256">
        <f t="shared" si="97"/>
        <v>3.0000000000000002E-2</v>
      </c>
      <c r="AC92" s="260">
        <f t="shared" si="117"/>
        <v>314.06161616847703</v>
      </c>
      <c r="AD92" s="261">
        <f t="shared" si="98"/>
        <v>0.12550881000000022</v>
      </c>
      <c r="AE92" s="280">
        <v>450000</v>
      </c>
      <c r="AF92" s="38"/>
      <c r="AG92" s="38"/>
      <c r="AH92" s="263">
        <v>450000</v>
      </c>
      <c r="AI92" s="255">
        <f t="shared" si="118"/>
        <v>84.491068606369481</v>
      </c>
      <c r="AJ92" s="256">
        <f t="shared" si="99"/>
        <v>3.0000000000000079E-2</v>
      </c>
      <c r="AK92" s="260">
        <f t="shared" si="100"/>
        <v>398.55268477484651</v>
      </c>
      <c r="AL92" s="259">
        <f t="shared" si="101"/>
        <v>0.15927407430000032</v>
      </c>
      <c r="AM92" s="255">
        <f t="shared" si="119"/>
        <v>87.025800664560393</v>
      </c>
      <c r="AN92" s="256">
        <f t="shared" si="102"/>
        <v>3.0000000000000016E-2</v>
      </c>
      <c r="AO92" s="260">
        <f t="shared" si="103"/>
        <v>485.5784854394069</v>
      </c>
      <c r="AP92" s="259">
        <f t="shared" si="104"/>
        <v>0.19405229652900033</v>
      </c>
      <c r="AQ92" s="258">
        <f t="shared" si="120"/>
        <v>89.636574684497191</v>
      </c>
      <c r="AR92" s="257">
        <f t="shared" si="105"/>
        <v>3.0000000000000013E-2</v>
      </c>
      <c r="AS92" s="258">
        <f t="shared" si="106"/>
        <v>575.2150601239041</v>
      </c>
      <c r="AT92" s="261">
        <f t="shared" si="107"/>
        <v>0.22987386542487037</v>
      </c>
      <c r="AU92" s="340"/>
    </row>
    <row r="93" spans="1:47" ht="12.75" x14ac:dyDescent="0.2">
      <c r="A93" s="26"/>
      <c r="B93" s="38"/>
      <c r="C93" s="252" t="s">
        <v>384</v>
      </c>
      <c r="D93" s="354">
        <f t="shared" si="108"/>
        <v>105</v>
      </c>
      <c r="E93" s="253">
        <v>550000</v>
      </c>
      <c r="F93" s="23">
        <f t="shared" si="109"/>
        <v>2725.1577270266985</v>
      </c>
      <c r="G93" s="23">
        <f t="shared" si="110"/>
        <v>2806.9124588374993</v>
      </c>
      <c r="H93" s="23">
        <f t="shared" si="110"/>
        <v>2891.1198326026242</v>
      </c>
      <c r="I93" s="23">
        <f t="shared" si="110"/>
        <v>2977.8534275807028</v>
      </c>
      <c r="J93" s="23">
        <f t="shared" si="110"/>
        <v>3067.1890304081239</v>
      </c>
      <c r="K93" s="23">
        <f t="shared" si="110"/>
        <v>3159.2047013203678</v>
      </c>
      <c r="L93" s="23">
        <f t="shared" si="110"/>
        <v>3253.9808423599789</v>
      </c>
      <c r="M93" s="23">
        <f t="shared" si="110"/>
        <v>3351.6002676307785</v>
      </c>
      <c r="N93" s="38"/>
      <c r="O93" s="38"/>
      <c r="P93" s="254">
        <v>550000</v>
      </c>
      <c r="Q93" s="255">
        <f t="shared" si="111"/>
        <v>81.754731810800877</v>
      </c>
      <c r="R93" s="256">
        <f t="shared" si="92"/>
        <v>2.9999999999999971E-2</v>
      </c>
      <c r="S93" s="255">
        <f t="shared" si="112"/>
        <v>84.207373765124885</v>
      </c>
      <c r="T93" s="256">
        <f t="shared" si="93"/>
        <v>2.9999999999999968E-2</v>
      </c>
      <c r="U93" s="260">
        <f t="shared" si="113"/>
        <v>165.96210557592576</v>
      </c>
      <c r="V93" s="259">
        <f t="shared" si="94"/>
        <v>6.0899999999999933E-2</v>
      </c>
      <c r="W93" s="258">
        <f t="shared" si="114"/>
        <v>86.7335949780786</v>
      </c>
      <c r="X93" s="256">
        <f t="shared" si="95"/>
        <v>2.9999999999999957E-2</v>
      </c>
      <c r="Y93" s="260">
        <f t="shared" si="115"/>
        <v>252.69570055400436</v>
      </c>
      <c r="Z93" s="256">
        <f t="shared" si="96"/>
        <v>9.2726999999999893E-2</v>
      </c>
      <c r="AA93" s="255">
        <f t="shared" si="116"/>
        <v>89.335602827421098</v>
      </c>
      <c r="AB93" s="256">
        <f t="shared" si="97"/>
        <v>3.0000000000000006E-2</v>
      </c>
      <c r="AC93" s="260">
        <f t="shared" si="117"/>
        <v>342.03130338142546</v>
      </c>
      <c r="AD93" s="261">
        <f t="shared" si="98"/>
        <v>0.12550880999999989</v>
      </c>
      <c r="AE93" s="280">
        <v>550000</v>
      </c>
      <c r="AF93" s="38"/>
      <c r="AG93" s="38"/>
      <c r="AH93" s="263">
        <v>550000</v>
      </c>
      <c r="AI93" s="255">
        <f t="shared" si="118"/>
        <v>92.015670912243877</v>
      </c>
      <c r="AJ93" s="256">
        <f t="shared" si="99"/>
        <v>3.0000000000000051E-2</v>
      </c>
      <c r="AK93" s="260">
        <f t="shared" si="100"/>
        <v>434.04697429366934</v>
      </c>
      <c r="AL93" s="259">
        <f t="shared" si="101"/>
        <v>0.15927407429999996</v>
      </c>
      <c r="AM93" s="255">
        <f t="shared" si="119"/>
        <v>94.776141039611048</v>
      </c>
      <c r="AN93" s="256">
        <f t="shared" si="102"/>
        <v>3.0000000000000006E-2</v>
      </c>
      <c r="AO93" s="260">
        <f t="shared" si="103"/>
        <v>528.82311533328038</v>
      </c>
      <c r="AP93" s="259">
        <f t="shared" si="104"/>
        <v>0.19405229652899994</v>
      </c>
      <c r="AQ93" s="258">
        <f t="shared" si="120"/>
        <v>97.619425270799638</v>
      </c>
      <c r="AR93" s="257">
        <f t="shared" si="105"/>
        <v>3.0000000000000082E-2</v>
      </c>
      <c r="AS93" s="258">
        <f t="shared" si="106"/>
        <v>626.44254060408002</v>
      </c>
      <c r="AT93" s="261">
        <f t="shared" si="107"/>
        <v>0.22987386542487004</v>
      </c>
      <c r="AU93" s="340"/>
    </row>
    <row r="94" spans="1:47" ht="12.75" x14ac:dyDescent="0.2">
      <c r="A94" s="26"/>
      <c r="B94" s="38"/>
      <c r="C94" s="252" t="s">
        <v>385</v>
      </c>
      <c r="D94" s="354">
        <f t="shared" si="108"/>
        <v>100</v>
      </c>
      <c r="E94" s="253">
        <v>650000</v>
      </c>
      <c r="F94" s="23">
        <f t="shared" si="109"/>
        <v>3121.8239578803514</v>
      </c>
      <c r="G94" s="23">
        <f t="shared" si="110"/>
        <v>3215.4786766167622</v>
      </c>
      <c r="H94" s="23">
        <f t="shared" si="110"/>
        <v>3311.9430369152651</v>
      </c>
      <c r="I94" s="23">
        <f t="shared" si="110"/>
        <v>3411.3013280227233</v>
      </c>
      <c r="J94" s="23">
        <f t="shared" si="110"/>
        <v>3513.6403678634051</v>
      </c>
      <c r="K94" s="23">
        <f t="shared" si="110"/>
        <v>3619.0495788993076</v>
      </c>
      <c r="L94" s="23">
        <f t="shared" si="110"/>
        <v>3727.621066266287</v>
      </c>
      <c r="M94" s="23">
        <f t="shared" si="110"/>
        <v>3839.4496982542755</v>
      </c>
      <c r="N94" s="38"/>
      <c r="O94" s="38"/>
      <c r="P94" s="254">
        <v>650000</v>
      </c>
      <c r="Q94" s="255">
        <f t="shared" si="111"/>
        <v>93.654718736410814</v>
      </c>
      <c r="R94" s="256">
        <f t="shared" si="92"/>
        <v>3.0000000000000089E-2</v>
      </c>
      <c r="S94" s="255">
        <f t="shared" si="112"/>
        <v>96.464360298502925</v>
      </c>
      <c r="T94" s="256">
        <f t="shared" si="93"/>
        <v>3.000000000000002E-2</v>
      </c>
      <c r="U94" s="260">
        <f t="shared" si="113"/>
        <v>190.11907903491374</v>
      </c>
      <c r="V94" s="259">
        <f t="shared" si="94"/>
        <v>6.0900000000000107E-2</v>
      </c>
      <c r="W94" s="258">
        <f t="shared" si="114"/>
        <v>99.358291107458172</v>
      </c>
      <c r="X94" s="256">
        <f t="shared" si="95"/>
        <v>3.0000000000000065E-2</v>
      </c>
      <c r="Y94" s="260">
        <f t="shared" si="115"/>
        <v>289.47737014237191</v>
      </c>
      <c r="Z94" s="256">
        <f t="shared" si="96"/>
        <v>9.2727000000000184E-2</v>
      </c>
      <c r="AA94" s="255">
        <f t="shared" si="116"/>
        <v>102.33903984068183</v>
      </c>
      <c r="AB94" s="256">
        <f t="shared" si="97"/>
        <v>3.0000000000000041E-2</v>
      </c>
      <c r="AC94" s="260">
        <f t="shared" si="117"/>
        <v>391.81640998305375</v>
      </c>
      <c r="AD94" s="261">
        <f t="shared" si="98"/>
        <v>0.12550881000000022</v>
      </c>
      <c r="AE94" s="280">
        <v>650000</v>
      </c>
      <c r="AF94" s="38"/>
      <c r="AG94" s="38"/>
      <c r="AH94" s="263">
        <v>650000</v>
      </c>
      <c r="AI94" s="255">
        <f t="shared" si="118"/>
        <v>105.40921103590244</v>
      </c>
      <c r="AJ94" s="256">
        <f t="shared" si="99"/>
        <v>3.0000000000000082E-2</v>
      </c>
      <c r="AK94" s="260">
        <f t="shared" si="100"/>
        <v>497.22562101895619</v>
      </c>
      <c r="AL94" s="259">
        <f t="shared" si="101"/>
        <v>0.15927407430000032</v>
      </c>
      <c r="AM94" s="255">
        <f t="shared" si="119"/>
        <v>108.57148736697945</v>
      </c>
      <c r="AN94" s="256">
        <f t="shared" si="102"/>
        <v>3.0000000000000061E-2</v>
      </c>
      <c r="AO94" s="260">
        <f t="shared" si="103"/>
        <v>605.79710838593564</v>
      </c>
      <c r="AP94" s="259">
        <f t="shared" si="104"/>
        <v>0.19405229652900041</v>
      </c>
      <c r="AQ94" s="258">
        <f t="shared" si="120"/>
        <v>111.8286319879885</v>
      </c>
      <c r="AR94" s="257">
        <f t="shared" si="105"/>
        <v>2.9999999999999971E-2</v>
      </c>
      <c r="AS94" s="258">
        <f t="shared" si="106"/>
        <v>717.62574037392415</v>
      </c>
      <c r="AT94" s="261">
        <f t="shared" si="107"/>
        <v>0.2298738654248704</v>
      </c>
      <c r="AU94" s="340"/>
    </row>
    <row r="95" spans="1:47" ht="12.75" x14ac:dyDescent="0.2">
      <c r="A95" s="26"/>
      <c r="B95" s="38"/>
      <c r="C95" s="252" t="s">
        <v>386</v>
      </c>
      <c r="D95" s="354">
        <f t="shared" si="108"/>
        <v>74</v>
      </c>
      <c r="E95" s="253">
        <v>750000</v>
      </c>
      <c r="F95" s="23">
        <f t="shared" si="109"/>
        <v>3431.3451197133054</v>
      </c>
      <c r="G95" s="23">
        <f t="shared" si="110"/>
        <v>3534.2854733047047</v>
      </c>
      <c r="H95" s="23">
        <f t="shared" si="110"/>
        <v>3640.3140375038461</v>
      </c>
      <c r="I95" s="23">
        <f t="shared" si="110"/>
        <v>3749.5234586289616</v>
      </c>
      <c r="J95" s="23">
        <f t="shared" si="110"/>
        <v>3862.0091623878307</v>
      </c>
      <c r="K95" s="23">
        <f t="shared" si="110"/>
        <v>3977.8694372594655</v>
      </c>
      <c r="L95" s="23">
        <f t="shared" si="110"/>
        <v>4097.2055203772497</v>
      </c>
      <c r="M95" s="23">
        <f t="shared" si="110"/>
        <v>4220.1216859885672</v>
      </c>
      <c r="N95" s="38"/>
      <c r="O95" s="38"/>
      <c r="P95" s="254">
        <v>750000</v>
      </c>
      <c r="Q95" s="255">
        <f t="shared" si="111"/>
        <v>102.94035359139934</v>
      </c>
      <c r="R95" s="256">
        <f t="shared" si="92"/>
        <v>3.0000000000000054E-2</v>
      </c>
      <c r="S95" s="255">
        <f t="shared" si="112"/>
        <v>106.02856419914133</v>
      </c>
      <c r="T95" s="256">
        <f t="shared" si="93"/>
        <v>3.0000000000000054E-2</v>
      </c>
      <c r="U95" s="260">
        <f t="shared" si="113"/>
        <v>208.96891779054067</v>
      </c>
      <c r="V95" s="259">
        <f t="shared" si="94"/>
        <v>6.0900000000000107E-2</v>
      </c>
      <c r="W95" s="258">
        <f t="shared" si="114"/>
        <v>109.20942112511557</v>
      </c>
      <c r="X95" s="256">
        <f t="shared" si="95"/>
        <v>3.0000000000000051E-2</v>
      </c>
      <c r="Y95" s="260">
        <f t="shared" si="115"/>
        <v>318.17833891565624</v>
      </c>
      <c r="Z95" s="256">
        <f t="shared" si="96"/>
        <v>9.272700000000017E-2</v>
      </c>
      <c r="AA95" s="255">
        <f t="shared" si="116"/>
        <v>112.48570375886902</v>
      </c>
      <c r="AB95" s="256">
        <f t="shared" si="97"/>
        <v>3.0000000000000047E-2</v>
      </c>
      <c r="AC95" s="260">
        <f t="shared" si="117"/>
        <v>430.66404267452526</v>
      </c>
      <c r="AD95" s="261">
        <f t="shared" si="98"/>
        <v>0.12550881000000022</v>
      </c>
      <c r="AE95" s="280">
        <v>750000</v>
      </c>
      <c r="AF95" s="38"/>
      <c r="AG95" s="38"/>
      <c r="AH95" s="263">
        <v>750000</v>
      </c>
      <c r="AI95" s="255">
        <f t="shared" si="118"/>
        <v>115.86027487163483</v>
      </c>
      <c r="AJ95" s="256">
        <f t="shared" si="99"/>
        <v>2.9999999999999978E-2</v>
      </c>
      <c r="AK95" s="260">
        <f t="shared" si="100"/>
        <v>546.52431754616009</v>
      </c>
      <c r="AL95" s="259">
        <f t="shared" si="101"/>
        <v>0.15927407430000021</v>
      </c>
      <c r="AM95" s="255">
        <f t="shared" si="119"/>
        <v>119.33608311778426</v>
      </c>
      <c r="AN95" s="256">
        <f t="shared" si="102"/>
        <v>3.0000000000000072E-2</v>
      </c>
      <c r="AO95" s="260">
        <f t="shared" si="103"/>
        <v>665.86040066394435</v>
      </c>
      <c r="AP95" s="259">
        <f t="shared" si="104"/>
        <v>0.1940522965290003</v>
      </c>
      <c r="AQ95" s="258">
        <f t="shared" si="120"/>
        <v>122.91616561131741</v>
      </c>
      <c r="AR95" s="257">
        <f t="shared" si="105"/>
        <v>2.9999999999999982E-2</v>
      </c>
      <c r="AS95" s="258">
        <f t="shared" si="106"/>
        <v>788.77656627526176</v>
      </c>
      <c r="AT95" s="261">
        <f t="shared" si="107"/>
        <v>0.22987386542487029</v>
      </c>
      <c r="AU95" s="340"/>
    </row>
    <row r="96" spans="1:47" ht="12.75" x14ac:dyDescent="0.2">
      <c r="A96" s="26"/>
      <c r="B96" s="38"/>
      <c r="C96" s="252" t="s">
        <v>387</v>
      </c>
      <c r="D96" s="354">
        <f t="shared" si="108"/>
        <v>61</v>
      </c>
      <c r="E96" s="253">
        <v>850000</v>
      </c>
      <c r="F96" s="23">
        <f t="shared" si="109"/>
        <v>3724.4515677773838</v>
      </c>
      <c r="G96" s="23">
        <f t="shared" si="110"/>
        <v>3836.1851148107053</v>
      </c>
      <c r="H96" s="23">
        <f t="shared" si="110"/>
        <v>3951.2706682550265</v>
      </c>
      <c r="I96" s="23">
        <f t="shared" si="110"/>
        <v>4069.8087883026774</v>
      </c>
      <c r="J96" s="23">
        <f t="shared" si="110"/>
        <v>4191.9030519517582</v>
      </c>
      <c r="K96" s="23">
        <f t="shared" si="110"/>
        <v>4317.6601435103112</v>
      </c>
      <c r="L96" s="23">
        <f t="shared" si="110"/>
        <v>4447.1899478156211</v>
      </c>
      <c r="M96" s="23">
        <f t="shared" si="110"/>
        <v>4580.6056462500901</v>
      </c>
      <c r="N96" s="38"/>
      <c r="O96" s="38"/>
      <c r="P96" s="254">
        <v>850000</v>
      </c>
      <c r="Q96" s="255">
        <f t="shared" si="111"/>
        <v>111.73354703332143</v>
      </c>
      <c r="R96" s="256">
        <f t="shared" si="92"/>
        <v>2.9999999999999978E-2</v>
      </c>
      <c r="S96" s="255">
        <f t="shared" si="112"/>
        <v>115.08555344432125</v>
      </c>
      <c r="T96" s="256">
        <f t="shared" si="93"/>
        <v>3.0000000000000023E-2</v>
      </c>
      <c r="U96" s="260">
        <f t="shared" si="113"/>
        <v>226.81910047764268</v>
      </c>
      <c r="V96" s="259">
        <f t="shared" si="94"/>
        <v>6.0900000000000003E-2</v>
      </c>
      <c r="W96" s="258">
        <f t="shared" si="114"/>
        <v>118.53812004765086</v>
      </c>
      <c r="X96" s="256">
        <f t="shared" si="95"/>
        <v>3.0000000000000016E-2</v>
      </c>
      <c r="Y96" s="260">
        <f t="shared" si="115"/>
        <v>345.35722052529354</v>
      </c>
      <c r="Z96" s="256">
        <f t="shared" si="96"/>
        <v>9.2727000000000018E-2</v>
      </c>
      <c r="AA96" s="255">
        <f t="shared" si="116"/>
        <v>122.09426364908086</v>
      </c>
      <c r="AB96" s="256">
        <f t="shared" si="97"/>
        <v>3.0000000000000131E-2</v>
      </c>
      <c r="AC96" s="260">
        <f t="shared" si="117"/>
        <v>467.4514841743744</v>
      </c>
      <c r="AD96" s="261">
        <f t="shared" si="98"/>
        <v>0.12550881000000016</v>
      </c>
      <c r="AE96" s="280">
        <v>850000</v>
      </c>
      <c r="AF96" s="38"/>
      <c r="AG96" s="38"/>
      <c r="AH96" s="263">
        <v>850000</v>
      </c>
      <c r="AI96" s="255">
        <f t="shared" si="118"/>
        <v>125.75709155855293</v>
      </c>
      <c r="AJ96" s="256">
        <f t="shared" si="99"/>
        <v>3.0000000000000044E-2</v>
      </c>
      <c r="AK96" s="260">
        <f t="shared" si="100"/>
        <v>593.20857573292733</v>
      </c>
      <c r="AL96" s="259">
        <f t="shared" si="101"/>
        <v>0.15927407430000021</v>
      </c>
      <c r="AM96" s="255">
        <f t="shared" si="119"/>
        <v>129.52980430530988</v>
      </c>
      <c r="AN96" s="256">
        <f t="shared" si="102"/>
        <v>3.0000000000000127E-2</v>
      </c>
      <c r="AO96" s="260">
        <f t="shared" si="103"/>
        <v>722.73838003823721</v>
      </c>
      <c r="AP96" s="259">
        <f t="shared" si="104"/>
        <v>0.19405229652900036</v>
      </c>
      <c r="AQ96" s="258">
        <f t="shared" si="120"/>
        <v>133.41569843446905</v>
      </c>
      <c r="AR96" s="257">
        <f t="shared" si="105"/>
        <v>3.0000000000000093E-2</v>
      </c>
      <c r="AS96" s="258">
        <f t="shared" si="106"/>
        <v>856.15407847270626</v>
      </c>
      <c r="AT96" s="261">
        <f t="shared" si="107"/>
        <v>0.22987386542487048</v>
      </c>
      <c r="AU96" s="340"/>
    </row>
    <row r="97" spans="1:47" ht="12.75" x14ac:dyDescent="0.2">
      <c r="A97" s="26"/>
      <c r="B97" s="38"/>
      <c r="C97" s="252" t="s">
        <v>388</v>
      </c>
      <c r="D97" s="354">
        <f t="shared" si="108"/>
        <v>56</v>
      </c>
      <c r="E97" s="253">
        <v>950000</v>
      </c>
      <c r="F97" s="23">
        <f t="shared" si="109"/>
        <v>4164.2167097061647</v>
      </c>
      <c r="G97" s="23">
        <f t="shared" si="110"/>
        <v>4289.1432109973493</v>
      </c>
      <c r="H97" s="23">
        <f t="shared" si="110"/>
        <v>4417.8175073272696</v>
      </c>
      <c r="I97" s="23">
        <f t="shared" si="110"/>
        <v>4550.3520325470881</v>
      </c>
      <c r="J97" s="23">
        <f t="shared" si="110"/>
        <v>4686.8625935235013</v>
      </c>
      <c r="K97" s="23">
        <f t="shared" si="110"/>
        <v>4827.4684713292063</v>
      </c>
      <c r="L97" s="23">
        <f t="shared" si="110"/>
        <v>4972.2925254690826</v>
      </c>
      <c r="M97" s="23">
        <f t="shared" si="110"/>
        <v>5121.4613012331556</v>
      </c>
      <c r="N97" s="38"/>
      <c r="O97" s="38"/>
      <c r="P97" s="254">
        <v>950000</v>
      </c>
      <c r="Q97" s="255">
        <f t="shared" si="111"/>
        <v>124.92650129118465</v>
      </c>
      <c r="R97" s="256">
        <f t="shared" si="92"/>
        <v>2.999999999999993E-2</v>
      </c>
      <c r="S97" s="255">
        <f t="shared" si="112"/>
        <v>128.67429632992025</v>
      </c>
      <c r="T97" s="256">
        <f t="shared" si="93"/>
        <v>2.9999999999999947E-2</v>
      </c>
      <c r="U97" s="260">
        <f t="shared" si="113"/>
        <v>253.6007976211049</v>
      </c>
      <c r="V97" s="259">
        <f t="shared" si="94"/>
        <v>6.0899999999999871E-2</v>
      </c>
      <c r="W97" s="258">
        <f t="shared" si="114"/>
        <v>132.53452521981853</v>
      </c>
      <c r="X97" s="256">
        <f t="shared" si="95"/>
        <v>3.00000000000001E-2</v>
      </c>
      <c r="Y97" s="260">
        <f t="shared" si="115"/>
        <v>386.13532284092344</v>
      </c>
      <c r="Z97" s="256">
        <f t="shared" si="96"/>
        <v>9.2726999999999976E-2</v>
      </c>
      <c r="AA97" s="255">
        <f t="shared" si="116"/>
        <v>136.51056097641322</v>
      </c>
      <c r="AB97" s="256">
        <f t="shared" si="97"/>
        <v>3.0000000000000127E-2</v>
      </c>
      <c r="AC97" s="260">
        <f t="shared" si="117"/>
        <v>522.64588381733665</v>
      </c>
      <c r="AD97" s="261">
        <f t="shared" si="98"/>
        <v>0.12550881000000011</v>
      </c>
      <c r="AE97" s="280">
        <v>950000</v>
      </c>
      <c r="AF97" s="38"/>
      <c r="AG97" s="38"/>
      <c r="AH97" s="263">
        <v>950000</v>
      </c>
      <c r="AI97" s="255">
        <f t="shared" si="118"/>
        <v>140.60587780570495</v>
      </c>
      <c r="AJ97" s="256">
        <f t="shared" si="99"/>
        <v>2.9999999999999982E-2</v>
      </c>
      <c r="AK97" s="260">
        <f t="shared" si="100"/>
        <v>663.2517616230416</v>
      </c>
      <c r="AL97" s="259">
        <f t="shared" si="101"/>
        <v>0.1592740743000001</v>
      </c>
      <c r="AM97" s="255">
        <f t="shared" si="119"/>
        <v>144.82405413987635</v>
      </c>
      <c r="AN97" s="256">
        <f t="shared" si="102"/>
        <v>3.0000000000000034E-2</v>
      </c>
      <c r="AO97" s="260">
        <f t="shared" si="103"/>
        <v>808.07581576291795</v>
      </c>
      <c r="AP97" s="259">
        <f t="shared" si="104"/>
        <v>0.19405229652900013</v>
      </c>
      <c r="AQ97" s="258">
        <f t="shared" si="120"/>
        <v>149.16877576407296</v>
      </c>
      <c r="AR97" s="257">
        <f t="shared" si="105"/>
        <v>3.0000000000000096E-2</v>
      </c>
      <c r="AS97" s="258">
        <f t="shared" si="106"/>
        <v>957.24459152699092</v>
      </c>
      <c r="AT97" s="261">
        <f t="shared" si="107"/>
        <v>0.22987386542487026</v>
      </c>
      <c r="AU97" s="340"/>
    </row>
    <row r="98" spans="1:47" ht="12.75" x14ac:dyDescent="0.2">
      <c r="A98" s="26"/>
      <c r="B98" s="38"/>
      <c r="C98" s="252" t="s">
        <v>390</v>
      </c>
      <c r="D98" s="354">
        <f t="shared" si="108"/>
        <v>106</v>
      </c>
      <c r="E98" s="253">
        <v>1250000</v>
      </c>
      <c r="F98" s="23">
        <f t="shared" si="109"/>
        <v>5090.8573124399372</v>
      </c>
      <c r="G98" s="23">
        <f t="shared" si="110"/>
        <v>5243.5830318131357</v>
      </c>
      <c r="H98" s="23">
        <f t="shared" si="110"/>
        <v>5400.8905227675295</v>
      </c>
      <c r="I98" s="23">
        <f t="shared" si="110"/>
        <v>5562.9172384505555</v>
      </c>
      <c r="J98" s="23">
        <f t="shared" si="110"/>
        <v>5729.8047556040719</v>
      </c>
      <c r="K98" s="23">
        <f t="shared" si="110"/>
        <v>5901.6988982721941</v>
      </c>
      <c r="L98" s="23">
        <f t="shared" si="110"/>
        <v>6078.7498652203603</v>
      </c>
      <c r="M98" s="23">
        <f t="shared" si="110"/>
        <v>6261.1123611769717</v>
      </c>
      <c r="N98" s="38"/>
      <c r="O98" s="38"/>
      <c r="P98" s="254">
        <v>1250000</v>
      </c>
      <c r="Q98" s="255">
        <f t="shared" si="111"/>
        <v>152.72571937319844</v>
      </c>
      <c r="R98" s="256">
        <f t="shared" si="92"/>
        <v>3.0000000000000065E-2</v>
      </c>
      <c r="S98" s="255">
        <f t="shared" si="112"/>
        <v>157.30749095439387</v>
      </c>
      <c r="T98" s="256">
        <f t="shared" si="93"/>
        <v>2.9999999999999961E-2</v>
      </c>
      <c r="U98" s="260">
        <f t="shared" si="113"/>
        <v>310.03321032759231</v>
      </c>
      <c r="V98" s="259">
        <f t="shared" si="94"/>
        <v>6.0900000000000024E-2</v>
      </c>
      <c r="W98" s="258">
        <f t="shared" si="114"/>
        <v>162.02671568302594</v>
      </c>
      <c r="X98" s="256">
        <f t="shared" si="95"/>
        <v>3.0000000000000009E-2</v>
      </c>
      <c r="Y98" s="260">
        <f t="shared" si="115"/>
        <v>472.05992601061826</v>
      </c>
      <c r="Z98" s="256">
        <f t="shared" si="96"/>
        <v>9.2727000000000032E-2</v>
      </c>
      <c r="AA98" s="255">
        <f t="shared" si="116"/>
        <v>166.88751715351646</v>
      </c>
      <c r="AB98" s="256">
        <f t="shared" si="97"/>
        <v>2.9999999999999961E-2</v>
      </c>
      <c r="AC98" s="260">
        <f t="shared" si="117"/>
        <v>638.94744316413471</v>
      </c>
      <c r="AD98" s="261">
        <f t="shared" si="98"/>
        <v>0.12550881</v>
      </c>
      <c r="AE98" s="280">
        <v>1250000</v>
      </c>
      <c r="AF98" s="38"/>
      <c r="AG98" s="38"/>
      <c r="AH98" s="263">
        <v>1250000</v>
      </c>
      <c r="AI98" s="255">
        <f t="shared" si="118"/>
        <v>171.89414266812219</v>
      </c>
      <c r="AJ98" s="256">
        <f t="shared" si="99"/>
        <v>3.0000000000000006E-2</v>
      </c>
      <c r="AK98" s="260">
        <f t="shared" si="100"/>
        <v>810.8415858322569</v>
      </c>
      <c r="AL98" s="259">
        <f t="shared" si="101"/>
        <v>0.15927407430000001</v>
      </c>
      <c r="AM98" s="255">
        <f t="shared" si="119"/>
        <v>177.05096694816621</v>
      </c>
      <c r="AN98" s="256">
        <f t="shared" si="102"/>
        <v>3.0000000000000065E-2</v>
      </c>
      <c r="AO98" s="260">
        <f t="shared" si="103"/>
        <v>987.8925527804231</v>
      </c>
      <c r="AP98" s="259">
        <f t="shared" si="104"/>
        <v>0.19405229652900008</v>
      </c>
      <c r="AQ98" s="258">
        <f t="shared" si="120"/>
        <v>182.36249595661138</v>
      </c>
      <c r="AR98" s="257">
        <f t="shared" si="105"/>
        <v>3.0000000000000093E-2</v>
      </c>
      <c r="AS98" s="258">
        <f t="shared" si="106"/>
        <v>1170.2550487370345</v>
      </c>
      <c r="AT98" s="261">
        <f t="shared" si="107"/>
        <v>0.22987386542487021</v>
      </c>
      <c r="AU98" s="340"/>
    </row>
    <row r="99" spans="1:47" ht="12.75" x14ac:dyDescent="0.2">
      <c r="A99" s="26"/>
      <c r="B99" s="38"/>
      <c r="C99" s="252" t="s">
        <v>391</v>
      </c>
      <c r="D99" s="354">
        <f t="shared" si="108"/>
        <v>29</v>
      </c>
      <c r="E99" s="253">
        <v>1750000</v>
      </c>
      <c r="F99" s="23">
        <f t="shared" si="109"/>
        <v>6823.9335917268618</v>
      </c>
      <c r="G99" s="23">
        <f t="shared" si="110"/>
        <v>7028.6515994786678</v>
      </c>
      <c r="H99" s="23">
        <f t="shared" si="110"/>
        <v>7239.5111474630276</v>
      </c>
      <c r="I99" s="23">
        <f t="shared" si="110"/>
        <v>7456.6964818869183</v>
      </c>
      <c r="J99" s="23">
        <f t="shared" si="110"/>
        <v>7680.397376343526</v>
      </c>
      <c r="K99" s="23">
        <f t="shared" si="110"/>
        <v>7910.8092976338321</v>
      </c>
      <c r="L99" s="23">
        <f t="shared" si="110"/>
        <v>8148.1335765628473</v>
      </c>
      <c r="M99" s="23">
        <f t="shared" si="110"/>
        <v>8392.5775838597328</v>
      </c>
      <c r="N99" s="38"/>
      <c r="O99" s="38"/>
      <c r="P99" s="254">
        <v>1750000</v>
      </c>
      <c r="Q99" s="255">
        <f t="shared" si="111"/>
        <v>204.718007751806</v>
      </c>
      <c r="R99" s="256">
        <f t="shared" si="92"/>
        <v>3.000000000000002E-2</v>
      </c>
      <c r="S99" s="255">
        <f t="shared" si="112"/>
        <v>210.85954798435978</v>
      </c>
      <c r="T99" s="256">
        <f t="shared" si="93"/>
        <v>2.9999999999999964E-2</v>
      </c>
      <c r="U99" s="260">
        <f t="shared" si="113"/>
        <v>415.57755573616578</v>
      </c>
      <c r="V99" s="259">
        <f t="shared" si="94"/>
        <v>6.0899999999999982E-2</v>
      </c>
      <c r="W99" s="258">
        <f t="shared" si="114"/>
        <v>217.18533442389071</v>
      </c>
      <c r="X99" s="256">
        <f t="shared" si="95"/>
        <v>2.9999999999999985E-2</v>
      </c>
      <c r="Y99" s="260">
        <f t="shared" si="115"/>
        <v>632.76289016005649</v>
      </c>
      <c r="Z99" s="256">
        <f t="shared" si="96"/>
        <v>9.2726999999999962E-2</v>
      </c>
      <c r="AA99" s="255">
        <f t="shared" si="116"/>
        <v>223.70089445660778</v>
      </c>
      <c r="AB99" s="256">
        <f t="shared" si="97"/>
        <v>3.000000000000003E-2</v>
      </c>
      <c r="AC99" s="260">
        <f t="shared" si="117"/>
        <v>856.46378461666427</v>
      </c>
      <c r="AD99" s="261">
        <f t="shared" si="98"/>
        <v>0.12550881</v>
      </c>
      <c r="AE99" s="280">
        <v>1750000</v>
      </c>
      <c r="AF99" s="38"/>
      <c r="AG99" s="38"/>
      <c r="AH99" s="263">
        <v>1750000</v>
      </c>
      <c r="AI99" s="255">
        <f t="shared" si="118"/>
        <v>230.41192129030605</v>
      </c>
      <c r="AJ99" s="256">
        <f t="shared" si="99"/>
        <v>3.0000000000000037E-2</v>
      </c>
      <c r="AK99" s="260">
        <f t="shared" si="100"/>
        <v>1086.8757059069703</v>
      </c>
      <c r="AL99" s="259">
        <f t="shared" si="101"/>
        <v>0.15927407430000004</v>
      </c>
      <c r="AM99" s="255">
        <f t="shared" si="119"/>
        <v>237.32427892901524</v>
      </c>
      <c r="AN99" s="256">
        <f t="shared" si="102"/>
        <v>3.0000000000000034E-2</v>
      </c>
      <c r="AO99" s="260">
        <f t="shared" si="103"/>
        <v>1324.1999848359856</v>
      </c>
      <c r="AP99" s="259">
        <f t="shared" si="104"/>
        <v>0.19405229652900008</v>
      </c>
      <c r="AQ99" s="258">
        <f t="shared" si="120"/>
        <v>244.4440072968855</v>
      </c>
      <c r="AR99" s="257">
        <f t="shared" si="105"/>
        <v>3.0000000000000009E-2</v>
      </c>
      <c r="AS99" s="258">
        <f t="shared" si="106"/>
        <v>1568.6439921328711</v>
      </c>
      <c r="AT99" s="261">
        <f t="shared" si="107"/>
        <v>0.22987386542487009</v>
      </c>
      <c r="AU99" s="340"/>
    </row>
    <row r="100" spans="1:47" ht="12.75" x14ac:dyDescent="0.2">
      <c r="A100" s="26"/>
      <c r="B100" s="38"/>
      <c r="C100" s="252" t="s">
        <v>392</v>
      </c>
      <c r="D100" s="354">
        <f t="shared" si="108"/>
        <v>18</v>
      </c>
      <c r="E100" s="253">
        <v>2500000</v>
      </c>
      <c r="F100" s="23">
        <f t="shared" si="109"/>
        <v>12576.614079947452</v>
      </c>
      <c r="G100" s="23">
        <f t="shared" si="110"/>
        <v>12953.912502345876</v>
      </c>
      <c r="H100" s="23">
        <f t="shared" si="110"/>
        <v>13342.529877416253</v>
      </c>
      <c r="I100" s="23">
        <f t="shared" si="110"/>
        <v>13742.805773738741</v>
      </c>
      <c r="J100" s="23">
        <f t="shared" si="110"/>
        <v>14155.089946950904</v>
      </c>
      <c r="K100" s="23">
        <f t="shared" si="110"/>
        <v>14579.742645359431</v>
      </c>
      <c r="L100" s="23">
        <f t="shared" si="110"/>
        <v>15017.134924720214</v>
      </c>
      <c r="M100" s="23">
        <f t="shared" si="110"/>
        <v>15467.64897246182</v>
      </c>
      <c r="N100" s="38"/>
      <c r="O100" s="38"/>
      <c r="P100" s="254">
        <v>2500000</v>
      </c>
      <c r="Q100" s="255">
        <f t="shared" si="111"/>
        <v>377.29842239842401</v>
      </c>
      <c r="R100" s="256">
        <f t="shared" si="92"/>
        <v>3.0000000000000034E-2</v>
      </c>
      <c r="S100" s="255">
        <f t="shared" si="112"/>
        <v>388.61737507037651</v>
      </c>
      <c r="T100" s="256">
        <f t="shared" si="93"/>
        <v>3.0000000000000016E-2</v>
      </c>
      <c r="U100" s="260">
        <f t="shared" si="113"/>
        <v>765.91579746880052</v>
      </c>
      <c r="V100" s="259">
        <f t="shared" si="94"/>
        <v>6.0900000000000051E-2</v>
      </c>
      <c r="W100" s="258">
        <f t="shared" si="114"/>
        <v>400.27589632248782</v>
      </c>
      <c r="X100" s="256">
        <f t="shared" si="95"/>
        <v>3.0000000000000016E-2</v>
      </c>
      <c r="Y100" s="260">
        <f t="shared" si="115"/>
        <v>1166.1916937912883</v>
      </c>
      <c r="Z100" s="256">
        <f t="shared" si="96"/>
        <v>9.2727000000000073E-2</v>
      </c>
      <c r="AA100" s="255">
        <f t="shared" si="116"/>
        <v>412.2841732121633</v>
      </c>
      <c r="AB100" s="256">
        <f t="shared" si="97"/>
        <v>3.0000000000000079E-2</v>
      </c>
      <c r="AC100" s="260">
        <f t="shared" si="117"/>
        <v>1578.4758670034516</v>
      </c>
      <c r="AD100" s="261">
        <f t="shared" si="98"/>
        <v>0.12550881000000016</v>
      </c>
      <c r="AE100" s="280">
        <v>2500000</v>
      </c>
      <c r="AF100" s="38"/>
      <c r="AG100" s="38"/>
      <c r="AH100" s="263">
        <v>2500000</v>
      </c>
      <c r="AI100" s="255">
        <f t="shared" si="118"/>
        <v>424.6526984085267</v>
      </c>
      <c r="AJ100" s="256">
        <f t="shared" si="99"/>
        <v>2.9999999999999971E-2</v>
      </c>
      <c r="AK100" s="260">
        <f t="shared" si="100"/>
        <v>2003.1285654119783</v>
      </c>
      <c r="AL100" s="259">
        <f t="shared" si="101"/>
        <v>0.15927407430000012</v>
      </c>
      <c r="AM100" s="255">
        <f t="shared" si="119"/>
        <v>437.3922793607835</v>
      </c>
      <c r="AN100" s="256">
        <f t="shared" si="102"/>
        <v>3.0000000000000041E-2</v>
      </c>
      <c r="AO100" s="260">
        <f t="shared" si="103"/>
        <v>2440.5208447727618</v>
      </c>
      <c r="AP100" s="259">
        <f t="shared" si="104"/>
        <v>0.19405229652900019</v>
      </c>
      <c r="AQ100" s="258">
        <f t="shared" si="120"/>
        <v>450.51404774160619</v>
      </c>
      <c r="AR100" s="257">
        <f t="shared" si="105"/>
        <v>2.9999999999999985E-2</v>
      </c>
      <c r="AS100" s="258">
        <f t="shared" si="106"/>
        <v>2891.034892514368</v>
      </c>
      <c r="AT100" s="261">
        <f t="shared" si="107"/>
        <v>0.22987386542487018</v>
      </c>
      <c r="AU100" s="340"/>
    </row>
    <row r="101" spans="1:47" ht="13.5" thickBot="1" x14ac:dyDescent="0.25">
      <c r="A101" s="26"/>
      <c r="B101" s="38"/>
      <c r="C101" s="216" t="s">
        <v>15</v>
      </c>
      <c r="D101" s="355">
        <f t="shared" si="108"/>
        <v>11</v>
      </c>
      <c r="E101" s="264">
        <v>3000000</v>
      </c>
      <c r="F101" s="23">
        <f t="shared" si="109"/>
        <v>16931.128888888892</v>
      </c>
      <c r="G101" s="23">
        <f t="shared" si="110"/>
        <v>17439.062755555558</v>
      </c>
      <c r="H101" s="23">
        <f t="shared" si="110"/>
        <v>17962.234638222224</v>
      </c>
      <c r="I101" s="23">
        <f t="shared" si="110"/>
        <v>18501.10167736889</v>
      </c>
      <c r="J101" s="23">
        <f t="shared" si="110"/>
        <v>19056.134727689958</v>
      </c>
      <c r="K101" s="23">
        <f t="shared" si="110"/>
        <v>19627.818769520658</v>
      </c>
      <c r="L101" s="23">
        <f t="shared" si="110"/>
        <v>20216.653332606278</v>
      </c>
      <c r="M101" s="23">
        <f t="shared" si="110"/>
        <v>20823.152932584468</v>
      </c>
      <c r="N101" s="38"/>
      <c r="O101" s="38"/>
      <c r="P101" s="265">
        <v>3000000</v>
      </c>
      <c r="Q101" s="347">
        <f t="shared" si="111"/>
        <v>507.93386666666629</v>
      </c>
      <c r="R101" s="342">
        <f t="shared" si="92"/>
        <v>2.9999999999999971E-2</v>
      </c>
      <c r="S101" s="347">
        <f t="shared" si="112"/>
        <v>523.17188266666562</v>
      </c>
      <c r="T101" s="342">
        <f t="shared" si="93"/>
        <v>2.9999999999999936E-2</v>
      </c>
      <c r="U101" s="343">
        <f t="shared" si="113"/>
        <v>1031.1057493333319</v>
      </c>
      <c r="V101" s="348">
        <f t="shared" si="94"/>
        <v>6.0899999999999906E-2</v>
      </c>
      <c r="W101" s="341">
        <f t="shared" si="114"/>
        <v>538.86703914666577</v>
      </c>
      <c r="X101" s="342">
        <f t="shared" si="95"/>
        <v>2.9999999999999947E-2</v>
      </c>
      <c r="Y101" s="271">
        <f t="shared" si="115"/>
        <v>1569.9727884799977</v>
      </c>
      <c r="Z101" s="342">
        <f t="shared" si="96"/>
        <v>9.2726999999999851E-2</v>
      </c>
      <c r="AA101" s="347">
        <f t="shared" si="116"/>
        <v>555.033050321068</v>
      </c>
      <c r="AB101" s="342">
        <f t="shared" si="97"/>
        <v>3.0000000000000072E-2</v>
      </c>
      <c r="AC101" s="343">
        <f t="shared" si="117"/>
        <v>2125.0058388010657</v>
      </c>
      <c r="AD101" s="344">
        <f t="shared" si="98"/>
        <v>0.12550880999999992</v>
      </c>
      <c r="AE101" s="281">
        <v>3000000</v>
      </c>
      <c r="AF101" s="38"/>
      <c r="AG101" s="38"/>
      <c r="AH101" s="273">
        <v>3000000</v>
      </c>
      <c r="AI101" s="266">
        <f t="shared" si="118"/>
        <v>571.68404183070015</v>
      </c>
      <c r="AJ101" s="267">
        <f t="shared" si="99"/>
        <v>3.0000000000000075E-2</v>
      </c>
      <c r="AK101" s="271">
        <f t="shared" si="100"/>
        <v>2696.6898806317658</v>
      </c>
      <c r="AL101" s="270">
        <f t="shared" si="101"/>
        <v>0.15927407430000001</v>
      </c>
      <c r="AM101" s="266">
        <f t="shared" si="119"/>
        <v>588.83456308562018</v>
      </c>
      <c r="AN101" s="267">
        <f t="shared" si="102"/>
        <v>3.0000000000000023E-2</v>
      </c>
      <c r="AO101" s="271">
        <f t="shared" si="103"/>
        <v>3285.524443717386</v>
      </c>
      <c r="AP101" s="270">
        <f t="shared" si="104"/>
        <v>0.19405229652900002</v>
      </c>
      <c r="AQ101" s="269">
        <f t="shared" si="120"/>
        <v>606.49959997818951</v>
      </c>
      <c r="AR101" s="268">
        <f t="shared" si="105"/>
        <v>3.0000000000000058E-2</v>
      </c>
      <c r="AS101" s="269">
        <f t="shared" si="106"/>
        <v>3892.0240436955755</v>
      </c>
      <c r="AT101" s="274">
        <f t="shared" si="107"/>
        <v>0.22987386542487009</v>
      </c>
      <c r="AU101" s="340"/>
    </row>
    <row r="102" spans="1:47" ht="13.5" thickTop="1" x14ac:dyDescent="0.2">
      <c r="A102" s="26"/>
      <c r="B102" s="38"/>
      <c r="C102" s="338"/>
      <c r="D102" s="353"/>
      <c r="E102" s="276"/>
      <c r="F102" s="338"/>
      <c r="G102" s="338"/>
      <c r="H102" s="338"/>
      <c r="I102" s="338"/>
      <c r="J102" s="338"/>
      <c r="K102" s="338"/>
      <c r="L102" s="338"/>
      <c r="M102" s="338"/>
      <c r="N102" s="38"/>
      <c r="O102" s="38"/>
      <c r="P102" s="276"/>
      <c r="Q102" s="345"/>
      <c r="R102" s="346"/>
      <c r="S102" s="345"/>
      <c r="T102" s="346"/>
      <c r="U102" s="345"/>
      <c r="V102" s="346"/>
      <c r="W102" s="345"/>
      <c r="X102" s="346"/>
      <c r="Y102" s="339"/>
      <c r="Z102" s="346"/>
      <c r="AA102" s="345"/>
      <c r="AB102" s="346"/>
      <c r="AC102" s="345"/>
      <c r="AD102" s="346"/>
      <c r="AE102" s="276"/>
      <c r="AF102" s="38"/>
      <c r="AG102" s="38"/>
      <c r="AH102" s="276"/>
      <c r="AI102" s="339"/>
      <c r="AJ102" s="340"/>
      <c r="AK102" s="339"/>
      <c r="AL102" s="340"/>
      <c r="AM102" s="339"/>
      <c r="AN102" s="340"/>
      <c r="AO102" s="339"/>
      <c r="AP102" s="340"/>
      <c r="AQ102" s="339"/>
      <c r="AR102" s="340"/>
      <c r="AS102" s="339"/>
      <c r="AT102" s="340"/>
      <c r="AU102" s="340"/>
    </row>
    <row r="103" spans="1:47" x14ac:dyDescent="0.2">
      <c r="A103" s="26"/>
      <c r="B103" s="38"/>
      <c r="C103" s="38"/>
      <c r="D103" s="38"/>
      <c r="E103" s="222"/>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2"/>
      <c r="AF103" s="38"/>
      <c r="AG103" s="38"/>
      <c r="AH103" s="38"/>
      <c r="AI103" s="38"/>
      <c r="AJ103" s="38"/>
      <c r="AK103" s="38"/>
      <c r="AL103" s="38"/>
      <c r="AM103" s="38"/>
      <c r="AN103" s="38"/>
      <c r="AO103" s="38"/>
      <c r="AP103" s="38"/>
      <c r="AQ103" s="38"/>
      <c r="AR103" s="38"/>
      <c r="AS103" s="38"/>
      <c r="AT103" s="38"/>
      <c r="AU103" s="38"/>
    </row>
    <row r="104" spans="1:47" ht="15.75" x14ac:dyDescent="0.25">
      <c r="A104" s="26"/>
      <c r="B104" s="38"/>
      <c r="C104" s="84" t="s">
        <v>404</v>
      </c>
      <c r="D104" s="38"/>
      <c r="E104" s="222"/>
      <c r="F104" s="38"/>
      <c r="G104" s="38"/>
      <c r="H104" s="38"/>
      <c r="I104" s="38"/>
      <c r="J104" s="38"/>
      <c r="K104" s="38"/>
      <c r="L104" s="38"/>
      <c r="M104" s="38"/>
      <c r="N104" s="38"/>
      <c r="O104" s="38"/>
      <c r="P104" s="84" t="s">
        <v>404</v>
      </c>
      <c r="Q104" s="38"/>
      <c r="R104" s="38"/>
      <c r="S104" s="38"/>
      <c r="T104" s="38"/>
      <c r="U104" s="38"/>
      <c r="V104" s="38"/>
      <c r="W104" s="38"/>
      <c r="X104" s="38"/>
      <c r="Y104" s="38"/>
      <c r="Z104" s="38"/>
      <c r="AA104" s="38"/>
      <c r="AB104" s="38"/>
      <c r="AC104" s="38"/>
      <c r="AD104" s="38"/>
      <c r="AE104" s="38"/>
      <c r="AF104" s="38"/>
      <c r="AG104" s="38"/>
      <c r="AH104" s="84" t="s">
        <v>404</v>
      </c>
      <c r="AI104" s="38"/>
      <c r="AJ104" s="38"/>
      <c r="AK104" s="38"/>
      <c r="AL104" s="38"/>
      <c r="AM104" s="38"/>
      <c r="AN104" s="38"/>
      <c r="AO104" s="38"/>
      <c r="AP104" s="38"/>
      <c r="AQ104" s="38"/>
      <c r="AR104" s="38"/>
      <c r="AS104" s="38"/>
      <c r="AT104" s="38"/>
      <c r="AU104" s="38"/>
    </row>
    <row r="105" spans="1:47" ht="4.5" customHeight="1" thickBot="1" x14ac:dyDescent="0.3">
      <c r="A105" s="26"/>
      <c r="B105" s="38"/>
      <c r="C105" s="84"/>
      <c r="D105" s="38"/>
      <c r="E105" s="222"/>
      <c r="F105" s="38"/>
      <c r="G105" s="38"/>
      <c r="H105" s="38"/>
      <c r="I105" s="38"/>
      <c r="J105" s="38"/>
      <c r="K105" s="38"/>
      <c r="L105" s="38"/>
      <c r="M105" s="38"/>
      <c r="N105" s="38"/>
      <c r="O105" s="38"/>
      <c r="P105" s="38"/>
      <c r="Q105" s="277"/>
      <c r="R105" s="277"/>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row>
    <row r="106" spans="1:47" ht="17.25" thickTop="1" thickBot="1" x14ac:dyDescent="0.3">
      <c r="A106" s="26"/>
      <c r="B106" s="38"/>
      <c r="C106" s="38"/>
      <c r="D106" s="38"/>
      <c r="E106" s="222"/>
      <c r="F106" s="226"/>
      <c r="G106" s="282"/>
      <c r="H106" s="814" t="s">
        <v>403</v>
      </c>
      <c r="I106" s="815"/>
      <c r="J106" s="815"/>
      <c r="K106" s="815"/>
      <c r="L106" s="815"/>
      <c r="M106" s="816"/>
      <c r="N106" s="38"/>
      <c r="O106" s="38"/>
      <c r="P106" s="38"/>
      <c r="Q106" s="820" t="s">
        <v>906</v>
      </c>
      <c r="R106" s="821"/>
      <c r="S106" s="821"/>
      <c r="T106" s="821"/>
      <c r="U106" s="821"/>
      <c r="V106" s="821"/>
      <c r="W106" s="821"/>
      <c r="X106" s="821"/>
      <c r="Y106" s="821"/>
      <c r="Z106" s="821"/>
      <c r="AA106" s="821"/>
      <c r="AB106" s="821"/>
      <c r="AC106" s="821"/>
      <c r="AD106" s="822"/>
      <c r="AE106" s="228"/>
      <c r="AF106" s="38"/>
      <c r="AG106" s="38"/>
      <c r="AH106" s="820" t="s">
        <v>906</v>
      </c>
      <c r="AI106" s="821"/>
      <c r="AJ106" s="821"/>
      <c r="AK106" s="821"/>
      <c r="AL106" s="821"/>
      <c r="AM106" s="821"/>
      <c r="AN106" s="821"/>
      <c r="AO106" s="821"/>
      <c r="AP106" s="821"/>
      <c r="AQ106" s="821"/>
      <c r="AR106" s="821"/>
      <c r="AS106" s="821"/>
      <c r="AT106" s="822"/>
      <c r="AU106" s="352"/>
    </row>
    <row r="107" spans="1:47" ht="48" customHeight="1" thickTop="1" x14ac:dyDescent="0.2">
      <c r="A107" s="26"/>
      <c r="B107" s="38"/>
      <c r="C107" s="230" t="s">
        <v>389</v>
      </c>
      <c r="D107" s="834" t="s">
        <v>888</v>
      </c>
      <c r="E107" s="231" t="s">
        <v>393</v>
      </c>
      <c r="F107" s="232" t="s">
        <v>410</v>
      </c>
      <c r="G107" s="215" t="s">
        <v>919</v>
      </c>
      <c r="H107" s="215" t="s">
        <v>920</v>
      </c>
      <c r="I107" s="215" t="s">
        <v>921</v>
      </c>
      <c r="J107" s="215" t="s">
        <v>922</v>
      </c>
      <c r="K107" s="215" t="s">
        <v>923</v>
      </c>
      <c r="L107" s="215" t="s">
        <v>924</v>
      </c>
      <c r="M107" s="283" t="s">
        <v>925</v>
      </c>
      <c r="N107" s="38"/>
      <c r="O107" s="38"/>
      <c r="P107" s="235" t="s">
        <v>393</v>
      </c>
      <c r="Q107" s="837" t="s">
        <v>394</v>
      </c>
      <c r="R107" s="826"/>
      <c r="S107" s="831" t="s">
        <v>395</v>
      </c>
      <c r="T107" s="832"/>
      <c r="U107" s="832"/>
      <c r="V107" s="833"/>
      <c r="W107" s="794" t="s">
        <v>396</v>
      </c>
      <c r="X107" s="826"/>
      <c r="Y107" s="826"/>
      <c r="Z107" s="826"/>
      <c r="AA107" s="831" t="s">
        <v>397</v>
      </c>
      <c r="AB107" s="832"/>
      <c r="AC107" s="832"/>
      <c r="AD107" s="836"/>
      <c r="AE107" s="284" t="s">
        <v>393</v>
      </c>
      <c r="AF107" s="38"/>
      <c r="AG107" s="38"/>
      <c r="AH107" s="278" t="s">
        <v>393</v>
      </c>
      <c r="AI107" s="831" t="s">
        <v>398</v>
      </c>
      <c r="AJ107" s="832"/>
      <c r="AK107" s="832"/>
      <c r="AL107" s="833"/>
      <c r="AM107" s="794" t="s">
        <v>399</v>
      </c>
      <c r="AN107" s="826"/>
      <c r="AO107" s="826"/>
      <c r="AP107" s="826"/>
      <c r="AQ107" s="831" t="s">
        <v>400</v>
      </c>
      <c r="AR107" s="832"/>
      <c r="AS107" s="832"/>
      <c r="AT107" s="836"/>
      <c r="AU107" s="236"/>
    </row>
    <row r="108" spans="1:47" ht="19.5" customHeight="1" x14ac:dyDescent="0.2">
      <c r="A108" s="26"/>
      <c r="B108" s="38"/>
      <c r="C108" s="239"/>
      <c r="D108" s="835"/>
      <c r="E108" s="240"/>
      <c r="F108" s="160" t="str">
        <f>'WK5a - Impact on Rates'!E57</f>
        <v>2014/15</v>
      </c>
      <c r="G108" s="160" t="str">
        <f>'WK5a - Impact on Rates'!F57</f>
        <v>2015/16</v>
      </c>
      <c r="H108" s="160" t="str">
        <f>'WK5a - Impact on Rates'!G57</f>
        <v>2016/17</v>
      </c>
      <c r="I108" s="160" t="str">
        <f>'WK5a - Impact on Rates'!H57</f>
        <v>2017/18</v>
      </c>
      <c r="J108" s="160" t="str">
        <f>'WK5a - Impact on Rates'!I57</f>
        <v>2018/19</v>
      </c>
      <c r="K108" s="160" t="str">
        <f>'WK5a - Impact on Rates'!J57</f>
        <v>2019/20</v>
      </c>
      <c r="L108" s="160" t="str">
        <f>'WK5a - Impact on Rates'!K57</f>
        <v>2020/21</v>
      </c>
      <c r="M108" s="182" t="str">
        <f>'WK5a - Impact on Rates'!L57</f>
        <v>2021/22</v>
      </c>
      <c r="N108" s="38"/>
      <c r="O108" s="38"/>
      <c r="P108" s="241" t="s">
        <v>129</v>
      </c>
      <c r="Q108" s="242" t="s">
        <v>102</v>
      </c>
      <c r="R108" s="243" t="s">
        <v>125</v>
      </c>
      <c r="S108" s="242" t="s">
        <v>102</v>
      </c>
      <c r="T108" s="244" t="s">
        <v>125</v>
      </c>
      <c r="U108" s="245" t="s">
        <v>103</v>
      </c>
      <c r="V108" s="246" t="s">
        <v>125</v>
      </c>
      <c r="W108" s="245" t="s">
        <v>102</v>
      </c>
      <c r="X108" s="247" t="s">
        <v>125</v>
      </c>
      <c r="Y108" s="244" t="s">
        <v>103</v>
      </c>
      <c r="Z108" s="243" t="s">
        <v>125</v>
      </c>
      <c r="AA108" s="242" t="s">
        <v>102</v>
      </c>
      <c r="AB108" s="244" t="s">
        <v>125</v>
      </c>
      <c r="AC108" s="244" t="s">
        <v>103</v>
      </c>
      <c r="AD108" s="248" t="s">
        <v>125</v>
      </c>
      <c r="AE108" s="285"/>
      <c r="AF108" s="38"/>
      <c r="AG108" s="38"/>
      <c r="AH108" s="286" t="s">
        <v>129</v>
      </c>
      <c r="AI108" s="242" t="s">
        <v>102</v>
      </c>
      <c r="AJ108" s="247" t="s">
        <v>125</v>
      </c>
      <c r="AK108" s="244" t="s">
        <v>103</v>
      </c>
      <c r="AL108" s="246" t="s">
        <v>125</v>
      </c>
      <c r="AM108" s="245" t="s">
        <v>102</v>
      </c>
      <c r="AN108" s="247" t="s">
        <v>125</v>
      </c>
      <c r="AO108" s="244" t="s">
        <v>103</v>
      </c>
      <c r="AP108" s="243" t="s">
        <v>125</v>
      </c>
      <c r="AQ108" s="242" t="s">
        <v>102</v>
      </c>
      <c r="AR108" s="247" t="s">
        <v>125</v>
      </c>
      <c r="AS108" s="244" t="s">
        <v>103</v>
      </c>
      <c r="AT108" s="248" t="s">
        <v>125</v>
      </c>
      <c r="AU108" s="351"/>
    </row>
    <row r="109" spans="1:47" ht="12.75" x14ac:dyDescent="0.2">
      <c r="A109" s="26"/>
      <c r="B109" s="38"/>
      <c r="C109" s="252" t="s">
        <v>14</v>
      </c>
      <c r="D109" s="23">
        <v>5</v>
      </c>
      <c r="E109" s="253">
        <v>50000</v>
      </c>
      <c r="F109" s="23">
        <v>571.48527298850581</v>
      </c>
      <c r="G109" s="23">
        <f>+F109*1.03</f>
        <v>588.629831178161</v>
      </c>
      <c r="H109" s="23">
        <f t="shared" ref="H109:M109" si="121">+G109*1.03</f>
        <v>606.28872611350585</v>
      </c>
      <c r="I109" s="23">
        <f t="shared" si="121"/>
        <v>624.47738789691107</v>
      </c>
      <c r="J109" s="23">
        <f t="shared" si="121"/>
        <v>643.21170953381841</v>
      </c>
      <c r="K109" s="23">
        <f t="shared" si="121"/>
        <v>662.50806081983296</v>
      </c>
      <c r="L109" s="23">
        <f t="shared" si="121"/>
        <v>682.383302644428</v>
      </c>
      <c r="M109" s="23">
        <f t="shared" si="121"/>
        <v>702.85480172376083</v>
      </c>
      <c r="N109" s="38"/>
      <c r="O109" s="38"/>
      <c r="P109" s="254">
        <v>50000</v>
      </c>
      <c r="Q109" s="255">
        <f>IF(G109="","",IF(F109=0,"",G109-F109))</f>
        <v>17.144558189655186</v>
      </c>
      <c r="R109" s="256">
        <f t="shared" ref="R109:R122" si="122">IF(Q109="","",Q109/F109)</f>
        <v>3.000000000000002E-2</v>
      </c>
      <c r="S109" s="255">
        <f>IF(H109="","",IF(G109=0,"",H109-G109))</f>
        <v>17.658894935344847</v>
      </c>
      <c r="T109" s="257">
        <f t="shared" ref="T109:T122" si="123">IF(S109="","",S109/G109)</f>
        <v>3.000000000000003E-2</v>
      </c>
      <c r="U109" s="258">
        <f>IF(S109="","",S109+Q109)</f>
        <v>34.803453125000033</v>
      </c>
      <c r="V109" s="259">
        <f t="shared" ref="V109:V122" si="124">IF(T109="","",U109/F109)</f>
        <v>6.0900000000000051E-2</v>
      </c>
      <c r="W109" s="258">
        <f>IF(I109="","",IF(H109=0,"",I109-H109))</f>
        <v>18.188661783405223</v>
      </c>
      <c r="X109" s="256">
        <f t="shared" ref="X109:X122" si="125">IF(W109="","",W109/H109)</f>
        <v>3.0000000000000079E-2</v>
      </c>
      <c r="Y109" s="260">
        <f>IF(W109="","",W109+U109)</f>
        <v>52.992114908405256</v>
      </c>
      <c r="Z109" s="256">
        <f t="shared" ref="Z109:Z122" si="126">IF(X109="","",Y109/F109)</f>
        <v>9.2727000000000129E-2</v>
      </c>
      <c r="AA109" s="255">
        <f>IF(J109="","",IF(I109=0,"",J109-I109))</f>
        <v>18.734321636907339</v>
      </c>
      <c r="AB109" s="257">
        <f t="shared" ref="AB109:AB122" si="127">IF(AA109="","",AA109/I109)</f>
        <v>3.0000000000000009E-2</v>
      </c>
      <c r="AC109" s="260">
        <f>IF(AA109="","",AA109+Y109)</f>
        <v>71.726436545312595</v>
      </c>
      <c r="AD109" s="261">
        <f t="shared" ref="AD109:AD122" si="128">IF(AB109="","",AC109/F109)</f>
        <v>0.12550881000000016</v>
      </c>
      <c r="AE109" s="287">
        <v>50000</v>
      </c>
      <c r="AF109" s="38"/>
      <c r="AG109" s="38"/>
      <c r="AH109" s="287">
        <v>50000</v>
      </c>
      <c r="AI109" s="255">
        <f>IF(K109="","",IF(J109=0,"",K109-J109))</f>
        <v>19.296351286014556</v>
      </c>
      <c r="AJ109" s="256">
        <f t="shared" ref="AJ109:AJ122" si="129">IF(AI109="","",AI109/J109)</f>
        <v>3.0000000000000006E-2</v>
      </c>
      <c r="AK109" s="260">
        <f t="shared" ref="AK109:AK122" si="130">IF(AI109="","",AI109+AC109)</f>
        <v>91.02278783132715</v>
      </c>
      <c r="AL109" s="256">
        <f t="shared" ref="AL109:AL122" si="131">IF(AK109="","",AK109/F109)</f>
        <v>0.15927407430000015</v>
      </c>
      <c r="AM109" s="255">
        <f>IF(L109="","",IF(K109=0,"",L109-K109))</f>
        <v>19.875241824595037</v>
      </c>
      <c r="AN109" s="257">
        <f t="shared" ref="AN109:AN122" si="132">IF(AM109="","",AM109/K109)</f>
        <v>3.0000000000000072E-2</v>
      </c>
      <c r="AO109" s="258">
        <f t="shared" ref="AO109:AO122" si="133">IF(AM109="","",AM109+AK109)</f>
        <v>110.89802965592219</v>
      </c>
      <c r="AP109" s="259">
        <f t="shared" ref="AP109:AP122" si="134">IF(AO109="","",AO109/F109)</f>
        <v>0.19405229652900025</v>
      </c>
      <c r="AQ109" s="258">
        <f>IF(M109="","",IF(L109=0,"",M109-L109))</f>
        <v>20.47149907933283</v>
      </c>
      <c r="AR109" s="257">
        <f t="shared" ref="AR109:AR122" si="135">IF(AQ109="","",AQ109/L109)</f>
        <v>2.9999999999999985E-2</v>
      </c>
      <c r="AS109" s="258">
        <f t="shared" ref="AS109:AS122" si="136">IF(AQ109="","",AQ109+AO109)</f>
        <v>131.36952873525502</v>
      </c>
      <c r="AT109" s="261">
        <f t="shared" ref="AT109:AT122" si="137">IF(AS109="","",AS109/F109)</f>
        <v>0.22987386542487023</v>
      </c>
      <c r="AU109" s="340"/>
    </row>
    <row r="110" spans="1:47" ht="12.75" x14ac:dyDescent="0.2">
      <c r="A110" s="26"/>
      <c r="B110" s="38"/>
      <c r="C110" s="252" t="s">
        <v>380</v>
      </c>
      <c r="D110" s="177">
        <v>12</v>
      </c>
      <c r="E110" s="253">
        <v>150000</v>
      </c>
      <c r="F110" s="23">
        <v>744.45488721804509</v>
      </c>
      <c r="G110" s="23">
        <f t="shared" ref="G110:M122" si="138">+F110*1.03</f>
        <v>766.78853383458647</v>
      </c>
      <c r="H110" s="23">
        <f t="shared" si="138"/>
        <v>789.79218984962404</v>
      </c>
      <c r="I110" s="23">
        <f t="shared" si="138"/>
        <v>813.4859555451128</v>
      </c>
      <c r="J110" s="23">
        <f t="shared" si="138"/>
        <v>837.89053421146616</v>
      </c>
      <c r="K110" s="23">
        <f t="shared" si="138"/>
        <v>863.02725023781022</v>
      </c>
      <c r="L110" s="23">
        <f t="shared" si="138"/>
        <v>888.91806774494455</v>
      </c>
      <c r="M110" s="23">
        <f t="shared" si="138"/>
        <v>915.58560977729292</v>
      </c>
      <c r="N110" s="38"/>
      <c r="O110" s="38"/>
      <c r="P110" s="254">
        <v>150000</v>
      </c>
      <c r="Q110" s="255">
        <f t="shared" ref="Q110:Q122" si="139">IF(G110="","",IF(F110=0,"",G110-F110))</f>
        <v>22.333646616541387</v>
      </c>
      <c r="R110" s="256">
        <f t="shared" si="122"/>
        <v>3.0000000000000047E-2</v>
      </c>
      <c r="S110" s="255">
        <f t="shared" ref="S110:S122" si="140">IF(H110="","",IF(G110=0,"",H110-G110))</f>
        <v>23.003656015037564</v>
      </c>
      <c r="T110" s="257">
        <f t="shared" si="123"/>
        <v>2.9999999999999961E-2</v>
      </c>
      <c r="U110" s="258">
        <f t="shared" ref="U110:U122" si="141">IF(S110="","",S110+Q110)</f>
        <v>45.33730263157895</v>
      </c>
      <c r="V110" s="259">
        <f t="shared" si="124"/>
        <v>6.0900000000000003E-2</v>
      </c>
      <c r="W110" s="258">
        <f t="shared" ref="W110:W122" si="142">IF(I110="","",IF(H110=0,"",I110-H110))</f>
        <v>23.693765695488764</v>
      </c>
      <c r="X110" s="256">
        <f t="shared" si="125"/>
        <v>3.0000000000000054E-2</v>
      </c>
      <c r="Y110" s="260">
        <f t="shared" ref="Y110:Y122" si="143">IF(W110="","",W110+U110)</f>
        <v>69.031068327067715</v>
      </c>
      <c r="Z110" s="256">
        <f t="shared" si="126"/>
        <v>9.2727000000000059E-2</v>
      </c>
      <c r="AA110" s="255">
        <f t="shared" ref="AA110:AA122" si="144">IF(J110="","",IF(I110=0,"",J110-I110))</f>
        <v>24.404578666353359</v>
      </c>
      <c r="AB110" s="257">
        <f t="shared" si="127"/>
        <v>2.9999999999999968E-2</v>
      </c>
      <c r="AC110" s="260">
        <f t="shared" ref="AC110:AC122" si="145">IF(AA110="","",AA110+Y110)</f>
        <v>93.435646993421074</v>
      </c>
      <c r="AD110" s="261">
        <f t="shared" si="128"/>
        <v>0.12550881000000003</v>
      </c>
      <c r="AE110" s="287">
        <v>150000</v>
      </c>
      <c r="AF110" s="38"/>
      <c r="AG110" s="38"/>
      <c r="AH110" s="287">
        <v>150000</v>
      </c>
      <c r="AI110" s="255">
        <f t="shared" ref="AI110:AI122" si="146">IF(K110="","",IF(J110=0,"",K110-J110))</f>
        <v>25.136716026344061</v>
      </c>
      <c r="AJ110" s="256">
        <f t="shared" si="129"/>
        <v>3.0000000000000093E-2</v>
      </c>
      <c r="AK110" s="260">
        <f t="shared" si="130"/>
        <v>118.57236301976513</v>
      </c>
      <c r="AL110" s="256">
        <f t="shared" si="131"/>
        <v>0.15927407430000012</v>
      </c>
      <c r="AM110" s="255">
        <f t="shared" ref="AM110:AM122" si="147">IF(L110="","",IF(K110=0,"",L110-K110))</f>
        <v>25.890817507134329</v>
      </c>
      <c r="AN110" s="257">
        <f t="shared" si="132"/>
        <v>3.0000000000000027E-2</v>
      </c>
      <c r="AO110" s="258">
        <f t="shared" si="133"/>
        <v>144.46318052689946</v>
      </c>
      <c r="AP110" s="259">
        <f t="shared" si="134"/>
        <v>0.19405229652900016</v>
      </c>
      <c r="AQ110" s="258">
        <f t="shared" ref="AQ110:AQ122" si="148">IF(M110="","",IF(L110=0,"",M110-L110))</f>
        <v>26.667542032348365</v>
      </c>
      <c r="AR110" s="257">
        <f t="shared" si="135"/>
        <v>3.0000000000000034E-2</v>
      </c>
      <c r="AS110" s="258">
        <f t="shared" si="136"/>
        <v>171.13072255924783</v>
      </c>
      <c r="AT110" s="261">
        <f t="shared" si="137"/>
        <v>0.22987386542487021</v>
      </c>
      <c r="AU110" s="340"/>
    </row>
    <row r="111" spans="1:47" ht="12.75" x14ac:dyDescent="0.2">
      <c r="A111" s="26"/>
      <c r="B111" s="38"/>
      <c r="C111" s="252" t="s">
        <v>381</v>
      </c>
      <c r="D111" s="177">
        <v>29</v>
      </c>
      <c r="E111" s="253">
        <v>250000</v>
      </c>
      <c r="F111" s="23">
        <v>902.44767290691618</v>
      </c>
      <c r="G111" s="23">
        <f t="shared" si="138"/>
        <v>929.52110309412365</v>
      </c>
      <c r="H111" s="23">
        <f t="shared" si="138"/>
        <v>957.40673618694734</v>
      </c>
      <c r="I111" s="23">
        <f t="shared" si="138"/>
        <v>986.12893827255584</v>
      </c>
      <c r="J111" s="23">
        <f t="shared" si="138"/>
        <v>1015.7128064207326</v>
      </c>
      <c r="K111" s="23">
        <f t="shared" si="138"/>
        <v>1046.1841906133545</v>
      </c>
      <c r="L111" s="23">
        <f t="shared" si="138"/>
        <v>1077.5697163317552</v>
      </c>
      <c r="M111" s="23">
        <f t="shared" si="138"/>
        <v>1109.8968078217079</v>
      </c>
      <c r="N111" s="38"/>
      <c r="O111" s="38"/>
      <c r="P111" s="254">
        <v>250000</v>
      </c>
      <c r="Q111" s="255">
        <f t="shared" si="139"/>
        <v>27.073430187207464</v>
      </c>
      <c r="R111" s="256">
        <f t="shared" si="122"/>
        <v>2.9999999999999975E-2</v>
      </c>
      <c r="S111" s="255">
        <f t="shared" si="140"/>
        <v>27.885633092823696</v>
      </c>
      <c r="T111" s="257">
        <f t="shared" si="123"/>
        <v>2.9999999999999985E-2</v>
      </c>
      <c r="U111" s="258">
        <f t="shared" si="141"/>
        <v>54.95906328003116</v>
      </c>
      <c r="V111" s="259">
        <f t="shared" si="124"/>
        <v>6.0899999999999961E-2</v>
      </c>
      <c r="W111" s="258">
        <f t="shared" si="142"/>
        <v>28.722202085608501</v>
      </c>
      <c r="X111" s="256">
        <f t="shared" si="125"/>
        <v>3.0000000000000086E-2</v>
      </c>
      <c r="Y111" s="260">
        <f t="shared" si="143"/>
        <v>83.681265365639661</v>
      </c>
      <c r="Z111" s="256">
        <f t="shared" si="126"/>
        <v>9.2727000000000045E-2</v>
      </c>
      <c r="AA111" s="255">
        <f t="shared" si="144"/>
        <v>29.583868148176748</v>
      </c>
      <c r="AB111" s="257">
        <f t="shared" si="127"/>
        <v>3.0000000000000075E-2</v>
      </c>
      <c r="AC111" s="260">
        <f t="shared" si="145"/>
        <v>113.26513351381641</v>
      </c>
      <c r="AD111" s="261">
        <f t="shared" si="128"/>
        <v>0.12550881000000014</v>
      </c>
      <c r="AE111" s="287">
        <v>250000</v>
      </c>
      <c r="AF111" s="38"/>
      <c r="AG111" s="38"/>
      <c r="AH111" s="287">
        <v>250000</v>
      </c>
      <c r="AI111" s="255">
        <f t="shared" si="146"/>
        <v>30.47138419262194</v>
      </c>
      <c r="AJ111" s="256">
        <f t="shared" si="129"/>
        <v>2.9999999999999964E-2</v>
      </c>
      <c r="AK111" s="260">
        <f t="shared" si="130"/>
        <v>143.73651770643835</v>
      </c>
      <c r="AL111" s="256">
        <f t="shared" si="131"/>
        <v>0.1592740743000001</v>
      </c>
      <c r="AM111" s="255">
        <f t="shared" si="147"/>
        <v>31.385525718400686</v>
      </c>
      <c r="AN111" s="257">
        <f t="shared" si="132"/>
        <v>3.0000000000000047E-2</v>
      </c>
      <c r="AO111" s="258">
        <f t="shared" si="133"/>
        <v>175.12204342483903</v>
      </c>
      <c r="AP111" s="259">
        <f t="shared" si="134"/>
        <v>0.19405229652900016</v>
      </c>
      <c r="AQ111" s="258">
        <f t="shared" si="148"/>
        <v>32.327091489952636</v>
      </c>
      <c r="AR111" s="257">
        <f t="shared" si="135"/>
        <v>2.9999999999999982E-2</v>
      </c>
      <c r="AS111" s="258">
        <f t="shared" si="136"/>
        <v>207.44913491479167</v>
      </c>
      <c r="AT111" s="261">
        <f t="shared" si="137"/>
        <v>0.22987386542487012</v>
      </c>
      <c r="AU111" s="340"/>
    </row>
    <row r="112" spans="1:47" ht="12.75" x14ac:dyDescent="0.2">
      <c r="A112" s="26"/>
      <c r="B112" s="38"/>
      <c r="C112" s="252" t="s">
        <v>382</v>
      </c>
      <c r="D112" s="177">
        <v>59</v>
      </c>
      <c r="E112" s="253">
        <v>350000</v>
      </c>
      <c r="F112" s="23">
        <v>1076.4038664117675</v>
      </c>
      <c r="G112" s="23">
        <f t="shared" si="138"/>
        <v>1108.6959824041205</v>
      </c>
      <c r="H112" s="23">
        <f t="shared" si="138"/>
        <v>1141.9568618762441</v>
      </c>
      <c r="I112" s="23">
        <f t="shared" si="138"/>
        <v>1176.2155677325316</v>
      </c>
      <c r="J112" s="23">
        <f t="shared" si="138"/>
        <v>1211.5020347645075</v>
      </c>
      <c r="K112" s="23">
        <f t="shared" si="138"/>
        <v>1247.8470958074427</v>
      </c>
      <c r="L112" s="23">
        <f t="shared" si="138"/>
        <v>1285.2825086816661</v>
      </c>
      <c r="M112" s="23">
        <f t="shared" si="138"/>
        <v>1323.8409839421161</v>
      </c>
      <c r="N112" s="38"/>
      <c r="O112" s="38"/>
      <c r="P112" s="254">
        <v>350000</v>
      </c>
      <c r="Q112" s="255">
        <f t="shared" si="139"/>
        <v>32.292115992353047</v>
      </c>
      <c r="R112" s="256">
        <f t="shared" si="122"/>
        <v>3.000000000000002E-2</v>
      </c>
      <c r="S112" s="255">
        <f t="shared" si="140"/>
        <v>33.260879472123634</v>
      </c>
      <c r="T112" s="257">
        <f t="shared" si="123"/>
        <v>3.0000000000000016E-2</v>
      </c>
      <c r="U112" s="258">
        <f t="shared" si="141"/>
        <v>65.55299546447668</v>
      </c>
      <c r="V112" s="259">
        <f t="shared" si="124"/>
        <v>6.0900000000000037E-2</v>
      </c>
      <c r="W112" s="258">
        <f t="shared" si="142"/>
        <v>34.258705856287406</v>
      </c>
      <c r="X112" s="256">
        <f t="shared" si="125"/>
        <v>3.0000000000000072E-2</v>
      </c>
      <c r="Y112" s="260">
        <f t="shared" si="143"/>
        <v>99.811701320764087</v>
      </c>
      <c r="Z112" s="256">
        <f t="shared" si="126"/>
        <v>9.2727000000000115E-2</v>
      </c>
      <c r="AA112" s="255">
        <f t="shared" si="144"/>
        <v>35.286467031975917</v>
      </c>
      <c r="AB112" s="257">
        <f t="shared" si="127"/>
        <v>2.9999999999999975E-2</v>
      </c>
      <c r="AC112" s="260">
        <f t="shared" si="145"/>
        <v>135.09816835274</v>
      </c>
      <c r="AD112" s="261">
        <f t="shared" si="128"/>
        <v>0.12550881000000008</v>
      </c>
      <c r="AE112" s="287">
        <v>350000</v>
      </c>
      <c r="AF112" s="38"/>
      <c r="AG112" s="38"/>
      <c r="AH112" s="287">
        <v>350000</v>
      </c>
      <c r="AI112" s="255">
        <f t="shared" si="146"/>
        <v>36.345061042935185</v>
      </c>
      <c r="AJ112" s="256">
        <f t="shared" si="129"/>
        <v>2.9999999999999968E-2</v>
      </c>
      <c r="AK112" s="260">
        <f t="shared" si="130"/>
        <v>171.44322939567519</v>
      </c>
      <c r="AL112" s="256">
        <f t="shared" si="131"/>
        <v>0.15927407430000007</v>
      </c>
      <c r="AM112" s="255">
        <f t="shared" si="147"/>
        <v>37.435412874223402</v>
      </c>
      <c r="AN112" s="257">
        <f t="shared" si="132"/>
        <v>3.00000000000001E-2</v>
      </c>
      <c r="AO112" s="258">
        <f t="shared" si="133"/>
        <v>208.87864226989859</v>
      </c>
      <c r="AP112" s="259">
        <f t="shared" si="134"/>
        <v>0.19405229652900016</v>
      </c>
      <c r="AQ112" s="258">
        <f t="shared" si="148"/>
        <v>38.558475260449995</v>
      </c>
      <c r="AR112" s="257">
        <f t="shared" si="135"/>
        <v>3.0000000000000009E-2</v>
      </c>
      <c r="AS112" s="258">
        <f t="shared" si="136"/>
        <v>247.43711753034859</v>
      </c>
      <c r="AT112" s="261">
        <f t="shared" si="137"/>
        <v>0.22987386542487021</v>
      </c>
      <c r="AU112" s="340"/>
    </row>
    <row r="113" spans="1:47" ht="12.75" x14ac:dyDescent="0.2">
      <c r="A113" s="26"/>
      <c r="B113" s="38"/>
      <c r="C113" s="252" t="s">
        <v>383</v>
      </c>
      <c r="D113" s="177">
        <v>93</v>
      </c>
      <c r="E113" s="253">
        <v>450000</v>
      </c>
      <c r="F113" s="23">
        <v>1243.9852181740648</v>
      </c>
      <c r="G113" s="23">
        <f t="shared" si="138"/>
        <v>1281.3047747192868</v>
      </c>
      <c r="H113" s="23">
        <f t="shared" si="138"/>
        <v>1319.7439179608655</v>
      </c>
      <c r="I113" s="23">
        <f t="shared" si="138"/>
        <v>1359.3362354996914</v>
      </c>
      <c r="J113" s="23">
        <f t="shared" si="138"/>
        <v>1400.1163225646822</v>
      </c>
      <c r="K113" s="23">
        <f t="shared" si="138"/>
        <v>1442.1198122416226</v>
      </c>
      <c r="L113" s="23">
        <f t="shared" si="138"/>
        <v>1485.3834066088714</v>
      </c>
      <c r="M113" s="23">
        <f t="shared" si="138"/>
        <v>1529.9449088071376</v>
      </c>
      <c r="N113" s="38"/>
      <c r="O113" s="38"/>
      <c r="P113" s="254">
        <v>450000</v>
      </c>
      <c r="Q113" s="255">
        <f t="shared" si="139"/>
        <v>37.319556545221985</v>
      </c>
      <c r="R113" s="256">
        <f t="shared" si="122"/>
        <v>3.0000000000000034E-2</v>
      </c>
      <c r="S113" s="255">
        <f t="shared" si="140"/>
        <v>38.439143241578677</v>
      </c>
      <c r="T113" s="257">
        <f t="shared" si="123"/>
        <v>3.0000000000000058E-2</v>
      </c>
      <c r="U113" s="258">
        <f t="shared" si="141"/>
        <v>75.758699786800662</v>
      </c>
      <c r="V113" s="259">
        <f t="shared" si="124"/>
        <v>6.0900000000000093E-2</v>
      </c>
      <c r="W113" s="258">
        <f t="shared" si="142"/>
        <v>39.59231753882591</v>
      </c>
      <c r="X113" s="256">
        <f t="shared" si="125"/>
        <v>2.9999999999999957E-2</v>
      </c>
      <c r="Y113" s="260">
        <f t="shared" si="143"/>
        <v>115.35101732562657</v>
      </c>
      <c r="Z113" s="256">
        <f t="shared" si="126"/>
        <v>9.2727000000000045E-2</v>
      </c>
      <c r="AA113" s="255">
        <f t="shared" si="144"/>
        <v>40.780087064990767</v>
      </c>
      <c r="AB113" s="257">
        <f t="shared" si="127"/>
        <v>3.000000000000002E-2</v>
      </c>
      <c r="AC113" s="260">
        <f t="shared" si="145"/>
        <v>156.13110439061734</v>
      </c>
      <c r="AD113" s="261">
        <f t="shared" si="128"/>
        <v>0.12550881000000008</v>
      </c>
      <c r="AE113" s="287">
        <v>450000</v>
      </c>
      <c r="AF113" s="38"/>
      <c r="AG113" s="38"/>
      <c r="AH113" s="287">
        <v>450000</v>
      </c>
      <c r="AI113" s="255">
        <f t="shared" si="146"/>
        <v>42.00348967694049</v>
      </c>
      <c r="AJ113" s="256">
        <f t="shared" si="129"/>
        <v>3.0000000000000016E-2</v>
      </c>
      <c r="AK113" s="260">
        <f t="shared" si="130"/>
        <v>198.13459406755783</v>
      </c>
      <c r="AL113" s="256">
        <f t="shared" si="131"/>
        <v>0.1592740743000001</v>
      </c>
      <c r="AM113" s="255">
        <f t="shared" si="147"/>
        <v>43.263594367248743</v>
      </c>
      <c r="AN113" s="257">
        <f t="shared" si="132"/>
        <v>3.0000000000000044E-2</v>
      </c>
      <c r="AO113" s="258">
        <f t="shared" si="133"/>
        <v>241.39818843480657</v>
      </c>
      <c r="AP113" s="259">
        <f t="shared" si="134"/>
        <v>0.19405229652900016</v>
      </c>
      <c r="AQ113" s="258">
        <f t="shared" si="148"/>
        <v>44.561502198266226</v>
      </c>
      <c r="AR113" s="257">
        <f t="shared" si="135"/>
        <v>3.0000000000000058E-2</v>
      </c>
      <c r="AS113" s="258">
        <f t="shared" si="136"/>
        <v>285.9596906330728</v>
      </c>
      <c r="AT113" s="261">
        <f t="shared" si="137"/>
        <v>0.22987386542487023</v>
      </c>
      <c r="AU113" s="340"/>
    </row>
    <row r="114" spans="1:47" ht="12.75" x14ac:dyDescent="0.2">
      <c r="A114" s="26"/>
      <c r="B114" s="38"/>
      <c r="C114" s="252" t="s">
        <v>384</v>
      </c>
      <c r="D114" s="177">
        <v>94</v>
      </c>
      <c r="E114" s="253">
        <v>550000</v>
      </c>
      <c r="F114" s="23">
        <v>1412.2622257207504</v>
      </c>
      <c r="G114" s="23">
        <f t="shared" si="138"/>
        <v>1454.630092492373</v>
      </c>
      <c r="H114" s="23">
        <f t="shared" si="138"/>
        <v>1498.2689952671442</v>
      </c>
      <c r="I114" s="23">
        <f t="shared" si="138"/>
        <v>1543.2170651251586</v>
      </c>
      <c r="J114" s="23">
        <f t="shared" si="138"/>
        <v>1589.5135770789134</v>
      </c>
      <c r="K114" s="23">
        <f t="shared" si="138"/>
        <v>1637.1989843912809</v>
      </c>
      <c r="L114" s="23">
        <f t="shared" si="138"/>
        <v>1686.3149539230194</v>
      </c>
      <c r="M114" s="23">
        <f t="shared" si="138"/>
        <v>1736.90440254071</v>
      </c>
      <c r="N114" s="38"/>
      <c r="O114" s="38"/>
      <c r="P114" s="254">
        <v>550000</v>
      </c>
      <c r="Q114" s="255">
        <f t="shared" si="139"/>
        <v>42.36786677162263</v>
      </c>
      <c r="R114" s="256">
        <f t="shared" si="122"/>
        <v>3.0000000000000082E-2</v>
      </c>
      <c r="S114" s="255">
        <f t="shared" si="140"/>
        <v>43.638902774771168</v>
      </c>
      <c r="T114" s="257">
        <f t="shared" si="123"/>
        <v>2.9999999999999985E-2</v>
      </c>
      <c r="U114" s="258">
        <f t="shared" si="141"/>
        <v>86.006769546393798</v>
      </c>
      <c r="V114" s="259">
        <f t="shared" si="124"/>
        <v>6.0900000000000072E-2</v>
      </c>
      <c r="W114" s="258">
        <f t="shared" si="142"/>
        <v>44.948069858014378</v>
      </c>
      <c r="X114" s="256">
        <f t="shared" si="125"/>
        <v>3.0000000000000034E-2</v>
      </c>
      <c r="Y114" s="260">
        <f t="shared" si="143"/>
        <v>130.95483940440818</v>
      </c>
      <c r="Z114" s="256">
        <f t="shared" si="126"/>
        <v>9.2727000000000115E-2</v>
      </c>
      <c r="AA114" s="255">
        <f t="shared" si="144"/>
        <v>46.296511953754816</v>
      </c>
      <c r="AB114" s="257">
        <f t="shared" si="127"/>
        <v>3.0000000000000037E-2</v>
      </c>
      <c r="AC114" s="260">
        <f t="shared" si="145"/>
        <v>177.25135135816299</v>
      </c>
      <c r="AD114" s="261">
        <f t="shared" si="128"/>
        <v>0.12550881000000016</v>
      </c>
      <c r="AE114" s="287">
        <v>550000</v>
      </c>
      <c r="AF114" s="38"/>
      <c r="AG114" s="38"/>
      <c r="AH114" s="287">
        <v>550000</v>
      </c>
      <c r="AI114" s="255">
        <f t="shared" si="146"/>
        <v>47.685407312367488</v>
      </c>
      <c r="AJ114" s="256">
        <f t="shared" si="129"/>
        <v>3.0000000000000054E-2</v>
      </c>
      <c r="AK114" s="260">
        <f t="shared" si="130"/>
        <v>224.93675867053048</v>
      </c>
      <c r="AL114" s="256">
        <f t="shared" si="131"/>
        <v>0.15927407430000021</v>
      </c>
      <c r="AM114" s="255">
        <f t="shared" si="147"/>
        <v>49.115969531738529</v>
      </c>
      <c r="AN114" s="257">
        <f t="shared" si="132"/>
        <v>3.0000000000000061E-2</v>
      </c>
      <c r="AO114" s="258">
        <f t="shared" si="133"/>
        <v>274.05272820226901</v>
      </c>
      <c r="AP114" s="259">
        <f t="shared" si="134"/>
        <v>0.1940522965290003</v>
      </c>
      <c r="AQ114" s="258">
        <f t="shared" si="148"/>
        <v>50.58944861769055</v>
      </c>
      <c r="AR114" s="257">
        <f t="shared" si="135"/>
        <v>2.9999999999999982E-2</v>
      </c>
      <c r="AS114" s="258">
        <f t="shared" si="136"/>
        <v>324.64217681995956</v>
      </c>
      <c r="AT114" s="261">
        <f t="shared" si="137"/>
        <v>0.22987386542487029</v>
      </c>
      <c r="AU114" s="340"/>
    </row>
    <row r="115" spans="1:47" ht="12.75" x14ac:dyDescent="0.2">
      <c r="A115" s="26"/>
      <c r="B115" s="38"/>
      <c r="C115" s="252" t="s">
        <v>385</v>
      </c>
      <c r="D115" s="177">
        <v>88</v>
      </c>
      <c r="E115" s="253">
        <v>650000</v>
      </c>
      <c r="F115" s="23">
        <v>1567.5823689048414</v>
      </c>
      <c r="G115" s="23">
        <f t="shared" si="138"/>
        <v>1614.6098399719867</v>
      </c>
      <c r="H115" s="23">
        <f t="shared" si="138"/>
        <v>1663.0481351711464</v>
      </c>
      <c r="I115" s="23">
        <f t="shared" si="138"/>
        <v>1712.9395792262808</v>
      </c>
      <c r="J115" s="23">
        <f t="shared" si="138"/>
        <v>1764.3277666030692</v>
      </c>
      <c r="K115" s="23">
        <f t="shared" si="138"/>
        <v>1817.2575996011612</v>
      </c>
      <c r="L115" s="23">
        <f t="shared" si="138"/>
        <v>1871.7753275891962</v>
      </c>
      <c r="M115" s="23">
        <f t="shared" si="138"/>
        <v>1927.9285874168722</v>
      </c>
      <c r="N115" s="38"/>
      <c r="O115" s="38"/>
      <c r="P115" s="254">
        <v>650000</v>
      </c>
      <c r="Q115" s="255">
        <f t="shared" si="139"/>
        <v>47.02747106714537</v>
      </c>
      <c r="R115" s="256">
        <f t="shared" si="122"/>
        <v>3.0000000000000082E-2</v>
      </c>
      <c r="S115" s="255">
        <f t="shared" si="140"/>
        <v>48.438295199159711</v>
      </c>
      <c r="T115" s="257">
        <f t="shared" si="123"/>
        <v>3.0000000000000068E-2</v>
      </c>
      <c r="U115" s="258">
        <f t="shared" si="141"/>
        <v>95.465766266305081</v>
      </c>
      <c r="V115" s="259">
        <f t="shared" si="124"/>
        <v>6.0900000000000155E-2</v>
      </c>
      <c r="W115" s="258">
        <f t="shared" si="142"/>
        <v>49.891444055134343</v>
      </c>
      <c r="X115" s="256">
        <f t="shared" si="125"/>
        <v>2.9999999999999971E-2</v>
      </c>
      <c r="Y115" s="260">
        <f t="shared" si="143"/>
        <v>145.35721032143942</v>
      </c>
      <c r="Z115" s="256">
        <f t="shared" si="126"/>
        <v>9.2727000000000129E-2</v>
      </c>
      <c r="AA115" s="255">
        <f t="shared" si="144"/>
        <v>51.388187376788437</v>
      </c>
      <c r="AB115" s="257">
        <f t="shared" si="127"/>
        <v>3.0000000000000009E-2</v>
      </c>
      <c r="AC115" s="260">
        <f t="shared" si="145"/>
        <v>196.74539769822786</v>
      </c>
      <c r="AD115" s="261">
        <f t="shared" si="128"/>
        <v>0.12550881000000014</v>
      </c>
      <c r="AE115" s="287">
        <v>650000</v>
      </c>
      <c r="AF115" s="38"/>
      <c r="AG115" s="38"/>
      <c r="AH115" s="287">
        <v>650000</v>
      </c>
      <c r="AI115" s="255">
        <f t="shared" si="146"/>
        <v>52.929832998092024</v>
      </c>
      <c r="AJ115" s="256">
        <f t="shared" si="129"/>
        <v>2.9999999999999971E-2</v>
      </c>
      <c r="AK115" s="260">
        <f t="shared" si="130"/>
        <v>249.67523069631989</v>
      </c>
      <c r="AL115" s="256">
        <f t="shared" si="131"/>
        <v>0.15927407430000012</v>
      </c>
      <c r="AM115" s="255">
        <f t="shared" si="147"/>
        <v>54.517727988034949</v>
      </c>
      <c r="AN115" s="257">
        <f t="shared" si="132"/>
        <v>3.0000000000000061E-2</v>
      </c>
      <c r="AO115" s="258">
        <f t="shared" si="133"/>
        <v>304.19295868435483</v>
      </c>
      <c r="AP115" s="259">
        <f t="shared" si="134"/>
        <v>0.19405229652900019</v>
      </c>
      <c r="AQ115" s="258">
        <f t="shared" si="148"/>
        <v>56.153259827676038</v>
      </c>
      <c r="AR115" s="257">
        <f t="shared" si="135"/>
        <v>3.0000000000000082E-2</v>
      </c>
      <c r="AS115" s="258">
        <f t="shared" si="136"/>
        <v>360.34621851203087</v>
      </c>
      <c r="AT115" s="261">
        <f t="shared" si="137"/>
        <v>0.22987386542487029</v>
      </c>
      <c r="AU115" s="340"/>
    </row>
    <row r="116" spans="1:47" ht="12.75" x14ac:dyDescent="0.2">
      <c r="A116" s="26"/>
      <c r="B116" s="38"/>
      <c r="C116" s="252" t="s">
        <v>386</v>
      </c>
      <c r="D116" s="177">
        <v>117</v>
      </c>
      <c r="E116" s="253">
        <v>750000</v>
      </c>
      <c r="F116" s="23">
        <v>1677.4417963906874</v>
      </c>
      <c r="G116" s="23">
        <f t="shared" si="138"/>
        <v>1727.7650502824081</v>
      </c>
      <c r="H116" s="23">
        <f t="shared" si="138"/>
        <v>1779.5980017908803</v>
      </c>
      <c r="I116" s="23">
        <f t="shared" si="138"/>
        <v>1832.9859418446067</v>
      </c>
      <c r="J116" s="23">
        <f t="shared" si="138"/>
        <v>1887.975520099945</v>
      </c>
      <c r="K116" s="23">
        <f t="shared" si="138"/>
        <v>1944.6147857029434</v>
      </c>
      <c r="L116" s="23">
        <f t="shared" si="138"/>
        <v>2002.9532292740319</v>
      </c>
      <c r="M116" s="23">
        <f t="shared" si="138"/>
        <v>2063.0418261522527</v>
      </c>
      <c r="N116" s="38"/>
      <c r="O116" s="38"/>
      <c r="P116" s="254">
        <v>750000</v>
      </c>
      <c r="Q116" s="255">
        <f t="shared" si="139"/>
        <v>50.323253891720697</v>
      </c>
      <c r="R116" s="256">
        <f t="shared" si="122"/>
        <v>3.0000000000000044E-2</v>
      </c>
      <c r="S116" s="255">
        <f t="shared" si="140"/>
        <v>51.832951508472206</v>
      </c>
      <c r="T116" s="257">
        <f t="shared" si="123"/>
        <v>2.9999999999999978E-2</v>
      </c>
      <c r="U116" s="258">
        <f t="shared" si="141"/>
        <v>102.1562054001929</v>
      </c>
      <c r="V116" s="259">
        <f t="shared" si="124"/>
        <v>6.0900000000000024E-2</v>
      </c>
      <c r="W116" s="258">
        <f t="shared" si="142"/>
        <v>53.387940053726425</v>
      </c>
      <c r="X116" s="256">
        <f t="shared" si="125"/>
        <v>3.0000000000000009E-2</v>
      </c>
      <c r="Y116" s="260">
        <f t="shared" si="143"/>
        <v>155.54414545391933</v>
      </c>
      <c r="Z116" s="256">
        <f t="shared" si="126"/>
        <v>9.2727000000000032E-2</v>
      </c>
      <c r="AA116" s="255">
        <f t="shared" si="144"/>
        <v>54.989578255338301</v>
      </c>
      <c r="AB116" s="257">
        <f t="shared" si="127"/>
        <v>3.0000000000000054E-2</v>
      </c>
      <c r="AC116" s="260">
        <f t="shared" si="145"/>
        <v>210.53372370925763</v>
      </c>
      <c r="AD116" s="261">
        <f t="shared" si="128"/>
        <v>0.12550881000000008</v>
      </c>
      <c r="AE116" s="287">
        <v>750000</v>
      </c>
      <c r="AF116" s="38"/>
      <c r="AG116" s="38"/>
      <c r="AH116" s="287">
        <v>750000</v>
      </c>
      <c r="AI116" s="255">
        <f t="shared" si="146"/>
        <v>56.639265602998421</v>
      </c>
      <c r="AJ116" s="256">
        <f t="shared" si="129"/>
        <v>3.0000000000000037E-2</v>
      </c>
      <c r="AK116" s="260">
        <f t="shared" si="130"/>
        <v>267.17298931225605</v>
      </c>
      <c r="AL116" s="256">
        <f t="shared" si="131"/>
        <v>0.15927407430000015</v>
      </c>
      <c r="AM116" s="255">
        <f t="shared" si="147"/>
        <v>58.338443571088419</v>
      </c>
      <c r="AN116" s="257">
        <f t="shared" si="132"/>
        <v>3.0000000000000061E-2</v>
      </c>
      <c r="AO116" s="258">
        <f t="shared" si="133"/>
        <v>325.51143288334447</v>
      </c>
      <c r="AP116" s="259">
        <f t="shared" si="134"/>
        <v>0.19405229652900022</v>
      </c>
      <c r="AQ116" s="258">
        <f t="shared" si="148"/>
        <v>60.088596878220869</v>
      </c>
      <c r="AR116" s="257">
        <f t="shared" si="135"/>
        <v>2.9999999999999957E-2</v>
      </c>
      <c r="AS116" s="258">
        <f t="shared" si="136"/>
        <v>385.60002976156534</v>
      </c>
      <c r="AT116" s="261">
        <f t="shared" si="137"/>
        <v>0.22987386542487018</v>
      </c>
      <c r="AU116" s="340"/>
    </row>
    <row r="117" spans="1:47" ht="12.75" x14ac:dyDescent="0.2">
      <c r="A117" s="26"/>
      <c r="B117" s="38"/>
      <c r="C117" s="252" t="s">
        <v>387</v>
      </c>
      <c r="D117" s="177">
        <v>84</v>
      </c>
      <c r="E117" s="253">
        <v>850000</v>
      </c>
      <c r="F117" s="23">
        <v>1898.1203881169129</v>
      </c>
      <c r="G117" s="23">
        <f t="shared" si="138"/>
        <v>1955.0639997604203</v>
      </c>
      <c r="H117" s="23">
        <f t="shared" si="138"/>
        <v>2013.715919753233</v>
      </c>
      <c r="I117" s="23">
        <f t="shared" si="138"/>
        <v>2074.1273973458301</v>
      </c>
      <c r="J117" s="23">
        <f t="shared" si="138"/>
        <v>2136.3512192662051</v>
      </c>
      <c r="K117" s="23">
        <f t="shared" si="138"/>
        <v>2200.4417558441914</v>
      </c>
      <c r="L117" s="23">
        <f t="shared" si="138"/>
        <v>2266.4550085195174</v>
      </c>
      <c r="M117" s="23">
        <f t="shared" si="138"/>
        <v>2334.448658775103</v>
      </c>
      <c r="N117" s="38"/>
      <c r="O117" s="38"/>
      <c r="P117" s="254">
        <v>850000</v>
      </c>
      <c r="Q117" s="255">
        <f t="shared" si="139"/>
        <v>56.943611643507438</v>
      </c>
      <c r="R117" s="256">
        <f t="shared" si="122"/>
        <v>3.0000000000000027E-2</v>
      </c>
      <c r="S117" s="255">
        <f t="shared" si="140"/>
        <v>58.651919992812736</v>
      </c>
      <c r="T117" s="257">
        <f t="shared" si="123"/>
        <v>3.0000000000000065E-2</v>
      </c>
      <c r="U117" s="258">
        <f t="shared" si="141"/>
        <v>115.59553163632017</v>
      </c>
      <c r="V117" s="259">
        <f t="shared" si="124"/>
        <v>6.0900000000000093E-2</v>
      </c>
      <c r="W117" s="258">
        <f t="shared" si="142"/>
        <v>60.411477592597066</v>
      </c>
      <c r="X117" s="256">
        <f t="shared" si="125"/>
        <v>3.0000000000000037E-2</v>
      </c>
      <c r="Y117" s="260">
        <f t="shared" si="143"/>
        <v>176.00700922891724</v>
      </c>
      <c r="Z117" s="256">
        <f t="shared" si="126"/>
        <v>9.2727000000000143E-2</v>
      </c>
      <c r="AA117" s="255">
        <f t="shared" si="144"/>
        <v>62.22382192037503</v>
      </c>
      <c r="AB117" s="257">
        <f t="shared" si="127"/>
        <v>3.0000000000000061E-2</v>
      </c>
      <c r="AC117" s="260">
        <f t="shared" si="145"/>
        <v>238.23083114929227</v>
      </c>
      <c r="AD117" s="261">
        <f t="shared" si="128"/>
        <v>0.12550881000000022</v>
      </c>
      <c r="AE117" s="287">
        <v>850000</v>
      </c>
      <c r="AF117" s="38"/>
      <c r="AG117" s="38"/>
      <c r="AH117" s="287">
        <v>850000</v>
      </c>
      <c r="AI117" s="255">
        <f t="shared" si="146"/>
        <v>64.090536577986313</v>
      </c>
      <c r="AJ117" s="256">
        <f t="shared" si="129"/>
        <v>3.0000000000000075E-2</v>
      </c>
      <c r="AK117" s="260">
        <f t="shared" si="130"/>
        <v>302.32136772727858</v>
      </c>
      <c r="AL117" s="256">
        <f t="shared" si="131"/>
        <v>0.15927407430000029</v>
      </c>
      <c r="AM117" s="255">
        <f t="shared" si="147"/>
        <v>66.01325267532593</v>
      </c>
      <c r="AN117" s="257">
        <f t="shared" si="132"/>
        <v>3.0000000000000086E-2</v>
      </c>
      <c r="AO117" s="258">
        <f t="shared" si="133"/>
        <v>368.33462040260451</v>
      </c>
      <c r="AP117" s="259">
        <f t="shared" si="134"/>
        <v>0.19405229652900041</v>
      </c>
      <c r="AQ117" s="258">
        <f t="shared" si="148"/>
        <v>67.993650255585635</v>
      </c>
      <c r="AR117" s="257">
        <f t="shared" si="135"/>
        <v>3.0000000000000051E-2</v>
      </c>
      <c r="AS117" s="258">
        <f t="shared" si="136"/>
        <v>436.32827065819015</v>
      </c>
      <c r="AT117" s="261">
        <f t="shared" si="137"/>
        <v>0.22987386542487048</v>
      </c>
      <c r="AU117" s="340"/>
    </row>
    <row r="118" spans="1:47" ht="12.75" x14ac:dyDescent="0.2">
      <c r="A118" s="26"/>
      <c r="B118" s="38"/>
      <c r="C118" s="252" t="s">
        <v>388</v>
      </c>
      <c r="D118" s="177">
        <v>65</v>
      </c>
      <c r="E118" s="253">
        <v>950000</v>
      </c>
      <c r="F118" s="23">
        <v>2031.9124721839571</v>
      </c>
      <c r="G118" s="23">
        <f t="shared" si="138"/>
        <v>2092.8698463494757</v>
      </c>
      <c r="H118" s="23">
        <f t="shared" si="138"/>
        <v>2155.6559417399599</v>
      </c>
      <c r="I118" s="23">
        <f t="shared" si="138"/>
        <v>2220.3256199921589</v>
      </c>
      <c r="J118" s="23">
        <f t="shared" si="138"/>
        <v>2286.9353885919236</v>
      </c>
      <c r="K118" s="23">
        <f t="shared" si="138"/>
        <v>2355.5434502496814</v>
      </c>
      <c r="L118" s="23">
        <f t="shared" si="138"/>
        <v>2426.2097537571717</v>
      </c>
      <c r="M118" s="23">
        <f t="shared" si="138"/>
        <v>2498.9960463698872</v>
      </c>
      <c r="N118" s="38"/>
      <c r="O118" s="38"/>
      <c r="P118" s="254">
        <v>950000</v>
      </c>
      <c r="Q118" s="255">
        <f t="shared" si="139"/>
        <v>60.957374165518559</v>
      </c>
      <c r="R118" s="256">
        <f t="shared" si="122"/>
        <v>2.9999999999999923E-2</v>
      </c>
      <c r="S118" s="255">
        <f t="shared" si="140"/>
        <v>62.786095390484206</v>
      </c>
      <c r="T118" s="257">
        <f t="shared" si="123"/>
        <v>2.9999999999999971E-2</v>
      </c>
      <c r="U118" s="258">
        <f t="shared" si="141"/>
        <v>123.74346955600276</v>
      </c>
      <c r="V118" s="259">
        <f t="shared" si="124"/>
        <v>6.0899999999999892E-2</v>
      </c>
      <c r="W118" s="258">
        <f t="shared" si="142"/>
        <v>64.669678252198992</v>
      </c>
      <c r="X118" s="256">
        <f t="shared" si="125"/>
        <v>3.0000000000000089E-2</v>
      </c>
      <c r="Y118" s="260">
        <f t="shared" si="143"/>
        <v>188.41314780820176</v>
      </c>
      <c r="Z118" s="256">
        <f t="shared" si="126"/>
        <v>9.272699999999999E-2</v>
      </c>
      <c r="AA118" s="255">
        <f t="shared" si="144"/>
        <v>66.60976859976472</v>
      </c>
      <c r="AB118" s="257">
        <f t="shared" si="127"/>
        <v>2.9999999999999978E-2</v>
      </c>
      <c r="AC118" s="260">
        <f t="shared" si="145"/>
        <v>255.02291640796648</v>
      </c>
      <c r="AD118" s="261">
        <f t="shared" si="128"/>
        <v>0.12550880999999997</v>
      </c>
      <c r="AE118" s="287">
        <v>950000</v>
      </c>
      <c r="AF118" s="38"/>
      <c r="AG118" s="38"/>
      <c r="AH118" s="287">
        <v>950000</v>
      </c>
      <c r="AI118" s="255">
        <f t="shared" si="146"/>
        <v>68.608061657757844</v>
      </c>
      <c r="AJ118" s="256">
        <f t="shared" si="129"/>
        <v>3.0000000000000061E-2</v>
      </c>
      <c r="AK118" s="260">
        <f t="shared" si="130"/>
        <v>323.63097806572432</v>
      </c>
      <c r="AL118" s="256">
        <f t="shared" si="131"/>
        <v>0.15927407430000001</v>
      </c>
      <c r="AM118" s="255">
        <f t="shared" si="147"/>
        <v>70.666303507490284</v>
      </c>
      <c r="AN118" s="257">
        <f t="shared" si="132"/>
        <v>2.9999999999999933E-2</v>
      </c>
      <c r="AO118" s="258">
        <f t="shared" si="133"/>
        <v>394.2972815732146</v>
      </c>
      <c r="AP118" s="259">
        <f t="shared" si="134"/>
        <v>0.19405229652899994</v>
      </c>
      <c r="AQ118" s="258">
        <f t="shared" si="148"/>
        <v>72.786292612715442</v>
      </c>
      <c r="AR118" s="257">
        <f t="shared" si="135"/>
        <v>3.000000000000012E-2</v>
      </c>
      <c r="AS118" s="258">
        <f t="shared" si="136"/>
        <v>467.08357418593005</v>
      </c>
      <c r="AT118" s="261">
        <f t="shared" si="137"/>
        <v>0.22987386542487009</v>
      </c>
      <c r="AU118" s="340"/>
    </row>
    <row r="119" spans="1:47" ht="12.75" x14ac:dyDescent="0.2">
      <c r="A119" s="26"/>
      <c r="B119" s="38"/>
      <c r="C119" s="252" t="s">
        <v>390</v>
      </c>
      <c r="D119" s="177">
        <v>236</v>
      </c>
      <c r="E119" s="253">
        <v>1250000</v>
      </c>
      <c r="F119" s="23">
        <v>2450.2384849804093</v>
      </c>
      <c r="G119" s="23">
        <f t="shared" si="138"/>
        <v>2523.7456395298218</v>
      </c>
      <c r="H119" s="23">
        <f t="shared" si="138"/>
        <v>2599.4580087157165</v>
      </c>
      <c r="I119" s="23">
        <f t="shared" si="138"/>
        <v>2677.4417489771881</v>
      </c>
      <c r="J119" s="23">
        <f t="shared" si="138"/>
        <v>2757.7650014465039</v>
      </c>
      <c r="K119" s="23">
        <f t="shared" si="138"/>
        <v>2840.4979514898992</v>
      </c>
      <c r="L119" s="23">
        <f t="shared" si="138"/>
        <v>2925.7128900345961</v>
      </c>
      <c r="M119" s="23">
        <f t="shared" si="138"/>
        <v>3013.484276735634</v>
      </c>
      <c r="N119" s="38"/>
      <c r="O119" s="38"/>
      <c r="P119" s="254">
        <v>1250000</v>
      </c>
      <c r="Q119" s="255">
        <f t="shared" si="139"/>
        <v>73.507154549412462</v>
      </c>
      <c r="R119" s="256">
        <f t="shared" si="122"/>
        <v>3.0000000000000075E-2</v>
      </c>
      <c r="S119" s="255">
        <f t="shared" si="140"/>
        <v>75.712369185894659</v>
      </c>
      <c r="T119" s="257">
        <f t="shared" si="123"/>
        <v>3.0000000000000002E-2</v>
      </c>
      <c r="U119" s="258">
        <f t="shared" si="141"/>
        <v>149.21952373530712</v>
      </c>
      <c r="V119" s="259">
        <f t="shared" si="124"/>
        <v>6.0900000000000079E-2</v>
      </c>
      <c r="W119" s="258">
        <f t="shared" si="142"/>
        <v>77.983740261471667</v>
      </c>
      <c r="X119" s="256">
        <f t="shared" si="125"/>
        <v>3.0000000000000065E-2</v>
      </c>
      <c r="Y119" s="260">
        <f t="shared" si="143"/>
        <v>227.20326399677879</v>
      </c>
      <c r="Z119" s="256">
        <f t="shared" si="126"/>
        <v>9.2727000000000157E-2</v>
      </c>
      <c r="AA119" s="255">
        <f t="shared" si="144"/>
        <v>80.323252469315776</v>
      </c>
      <c r="AB119" s="257">
        <f t="shared" si="127"/>
        <v>3.0000000000000051E-2</v>
      </c>
      <c r="AC119" s="260">
        <f t="shared" si="145"/>
        <v>307.52651646609456</v>
      </c>
      <c r="AD119" s="261">
        <f t="shared" si="128"/>
        <v>0.12550881000000022</v>
      </c>
      <c r="AE119" s="287">
        <v>1250000</v>
      </c>
      <c r="AF119" s="38"/>
      <c r="AG119" s="38"/>
      <c r="AH119" s="287">
        <v>1250000</v>
      </c>
      <c r="AI119" s="255">
        <f t="shared" si="146"/>
        <v>82.732950043395249</v>
      </c>
      <c r="AJ119" s="256">
        <f t="shared" si="129"/>
        <v>3.0000000000000047E-2</v>
      </c>
      <c r="AK119" s="260">
        <f t="shared" si="130"/>
        <v>390.25946650948981</v>
      </c>
      <c r="AL119" s="256">
        <f t="shared" si="131"/>
        <v>0.15927407430000026</v>
      </c>
      <c r="AM119" s="255">
        <f t="shared" si="147"/>
        <v>85.214938544696906</v>
      </c>
      <c r="AN119" s="257">
        <f t="shared" si="132"/>
        <v>2.9999999999999975E-2</v>
      </c>
      <c r="AO119" s="258">
        <f t="shared" si="133"/>
        <v>475.47440505418672</v>
      </c>
      <c r="AP119" s="259">
        <f t="shared" si="134"/>
        <v>0.19405229652900025</v>
      </c>
      <c r="AQ119" s="258">
        <f t="shared" si="148"/>
        <v>87.771386701037954</v>
      </c>
      <c r="AR119" s="257">
        <f t="shared" si="135"/>
        <v>3.0000000000000023E-2</v>
      </c>
      <c r="AS119" s="258">
        <f t="shared" si="136"/>
        <v>563.24579175522467</v>
      </c>
      <c r="AT119" s="261">
        <f t="shared" si="137"/>
        <v>0.22987386542487029</v>
      </c>
      <c r="AU119" s="340"/>
    </row>
    <row r="120" spans="1:47" ht="12.75" x14ac:dyDescent="0.2">
      <c r="A120" s="26"/>
      <c r="B120" s="38"/>
      <c r="C120" s="252" t="s">
        <v>391</v>
      </c>
      <c r="D120" s="177">
        <v>54</v>
      </c>
      <c r="E120" s="253">
        <v>1750000</v>
      </c>
      <c r="F120" s="23">
        <v>3272.8652874839436</v>
      </c>
      <c r="G120" s="23">
        <f t="shared" si="138"/>
        <v>3371.0512461084618</v>
      </c>
      <c r="H120" s="23">
        <f t="shared" si="138"/>
        <v>3472.1827834917158</v>
      </c>
      <c r="I120" s="23">
        <f t="shared" si="138"/>
        <v>3576.3482669964674</v>
      </c>
      <c r="J120" s="23">
        <f t="shared" si="138"/>
        <v>3683.6387150063615</v>
      </c>
      <c r="K120" s="23">
        <f t="shared" si="138"/>
        <v>3794.1478764565522</v>
      </c>
      <c r="L120" s="23">
        <f t="shared" si="138"/>
        <v>3907.9723127502489</v>
      </c>
      <c r="M120" s="23">
        <f t="shared" si="138"/>
        <v>4025.2114821327564</v>
      </c>
      <c r="N120" s="38"/>
      <c r="O120" s="38"/>
      <c r="P120" s="254">
        <v>1750000</v>
      </c>
      <c r="Q120" s="255">
        <f t="shared" si="139"/>
        <v>98.185958624518207</v>
      </c>
      <c r="R120" s="256">
        <f t="shared" si="122"/>
        <v>2.9999999999999971E-2</v>
      </c>
      <c r="S120" s="255">
        <f t="shared" si="140"/>
        <v>101.131537383254</v>
      </c>
      <c r="T120" s="257">
        <f t="shared" si="123"/>
        <v>3.0000000000000044E-2</v>
      </c>
      <c r="U120" s="258">
        <f t="shared" si="141"/>
        <v>199.31749600777221</v>
      </c>
      <c r="V120" s="259">
        <f t="shared" si="124"/>
        <v>6.090000000000001E-2</v>
      </c>
      <c r="W120" s="258">
        <f t="shared" si="142"/>
        <v>104.16548350475159</v>
      </c>
      <c r="X120" s="256">
        <f t="shared" si="125"/>
        <v>3.0000000000000034E-2</v>
      </c>
      <c r="Y120" s="260">
        <f t="shared" si="143"/>
        <v>303.4829795125238</v>
      </c>
      <c r="Z120" s="256">
        <f t="shared" si="126"/>
        <v>9.2727000000000045E-2</v>
      </c>
      <c r="AA120" s="255">
        <f t="shared" si="144"/>
        <v>107.29044800989413</v>
      </c>
      <c r="AB120" s="257">
        <f t="shared" si="127"/>
        <v>3.000000000000003E-2</v>
      </c>
      <c r="AC120" s="260">
        <f t="shared" si="145"/>
        <v>410.77342752241793</v>
      </c>
      <c r="AD120" s="261">
        <f t="shared" si="128"/>
        <v>0.12550881000000008</v>
      </c>
      <c r="AE120" s="287">
        <v>1750000</v>
      </c>
      <c r="AF120" s="38"/>
      <c r="AG120" s="38"/>
      <c r="AH120" s="287">
        <v>1750000</v>
      </c>
      <c r="AI120" s="255">
        <f t="shared" si="146"/>
        <v>110.50916145019073</v>
      </c>
      <c r="AJ120" s="256">
        <f t="shared" si="129"/>
        <v>2.9999999999999968E-2</v>
      </c>
      <c r="AK120" s="260">
        <f t="shared" si="130"/>
        <v>521.28258897260866</v>
      </c>
      <c r="AL120" s="256">
        <f t="shared" si="131"/>
        <v>0.15927407430000004</v>
      </c>
      <c r="AM120" s="255">
        <f t="shared" si="147"/>
        <v>113.82443629369664</v>
      </c>
      <c r="AN120" s="257">
        <f t="shared" si="132"/>
        <v>3.000000000000002E-2</v>
      </c>
      <c r="AO120" s="258">
        <f t="shared" si="133"/>
        <v>635.1070252663053</v>
      </c>
      <c r="AP120" s="259">
        <f t="shared" si="134"/>
        <v>0.19405229652900008</v>
      </c>
      <c r="AQ120" s="258">
        <f t="shared" si="148"/>
        <v>117.2391693825075</v>
      </c>
      <c r="AR120" s="257">
        <f t="shared" si="135"/>
        <v>3.0000000000000009E-2</v>
      </c>
      <c r="AS120" s="258">
        <f t="shared" si="136"/>
        <v>752.3461946488128</v>
      </c>
      <c r="AT120" s="261">
        <f t="shared" si="137"/>
        <v>0.22987386542487009</v>
      </c>
      <c r="AU120" s="340"/>
    </row>
    <row r="121" spans="1:47" ht="12.75" x14ac:dyDescent="0.2">
      <c r="A121" s="26"/>
      <c r="B121" s="38"/>
      <c r="C121" s="252" t="s">
        <v>392</v>
      </c>
      <c r="D121" s="177">
        <v>19</v>
      </c>
      <c r="E121" s="253">
        <v>2500000</v>
      </c>
      <c r="F121" s="23">
        <v>4268.6269063180835</v>
      </c>
      <c r="G121" s="23">
        <f t="shared" si="138"/>
        <v>4396.6857135076261</v>
      </c>
      <c r="H121" s="23">
        <f t="shared" si="138"/>
        <v>4528.5862849128553</v>
      </c>
      <c r="I121" s="23">
        <f t="shared" si="138"/>
        <v>4664.4438734602409</v>
      </c>
      <c r="J121" s="23">
        <f t="shared" si="138"/>
        <v>4804.3771896640483</v>
      </c>
      <c r="K121" s="23">
        <f t="shared" si="138"/>
        <v>4948.5085053539697</v>
      </c>
      <c r="L121" s="23">
        <f t="shared" si="138"/>
        <v>5096.963760514589</v>
      </c>
      <c r="M121" s="23">
        <f t="shared" si="138"/>
        <v>5249.8726733300264</v>
      </c>
      <c r="N121" s="38"/>
      <c r="O121" s="38"/>
      <c r="P121" s="254">
        <v>2500000</v>
      </c>
      <c r="Q121" s="255">
        <f t="shared" si="139"/>
        <v>128.05880718954268</v>
      </c>
      <c r="R121" s="256">
        <f t="shared" si="122"/>
        <v>3.0000000000000041E-2</v>
      </c>
      <c r="S121" s="255">
        <f t="shared" si="140"/>
        <v>131.90057140522913</v>
      </c>
      <c r="T121" s="257">
        <f t="shared" si="123"/>
        <v>3.0000000000000079E-2</v>
      </c>
      <c r="U121" s="258">
        <f t="shared" si="141"/>
        <v>259.95937859477181</v>
      </c>
      <c r="V121" s="259">
        <f t="shared" si="124"/>
        <v>6.0900000000000121E-2</v>
      </c>
      <c r="W121" s="258">
        <f t="shared" si="142"/>
        <v>135.8575885473856</v>
      </c>
      <c r="X121" s="256">
        <f t="shared" si="125"/>
        <v>2.9999999999999988E-2</v>
      </c>
      <c r="Y121" s="260">
        <f t="shared" si="143"/>
        <v>395.81696714215741</v>
      </c>
      <c r="Z121" s="256">
        <f t="shared" si="126"/>
        <v>9.2727000000000115E-2</v>
      </c>
      <c r="AA121" s="255">
        <f t="shared" si="144"/>
        <v>139.93331620380741</v>
      </c>
      <c r="AB121" s="257">
        <f t="shared" si="127"/>
        <v>3.0000000000000041E-2</v>
      </c>
      <c r="AC121" s="260">
        <f t="shared" si="145"/>
        <v>535.75028334596482</v>
      </c>
      <c r="AD121" s="261">
        <f t="shared" si="128"/>
        <v>0.12550881000000016</v>
      </c>
      <c r="AE121" s="287">
        <v>2500000</v>
      </c>
      <c r="AF121" s="38"/>
      <c r="AG121" s="38"/>
      <c r="AH121" s="287">
        <v>2500000</v>
      </c>
      <c r="AI121" s="255">
        <f t="shared" si="146"/>
        <v>144.13131568992139</v>
      </c>
      <c r="AJ121" s="256">
        <f t="shared" si="129"/>
        <v>2.9999999999999988E-2</v>
      </c>
      <c r="AK121" s="260">
        <f t="shared" si="130"/>
        <v>679.88159903588621</v>
      </c>
      <c r="AL121" s="256">
        <f t="shared" si="131"/>
        <v>0.15927407430000015</v>
      </c>
      <c r="AM121" s="255">
        <f t="shared" si="147"/>
        <v>148.45525516061934</v>
      </c>
      <c r="AN121" s="257">
        <f t="shared" si="132"/>
        <v>3.0000000000000051E-2</v>
      </c>
      <c r="AO121" s="258">
        <f t="shared" si="133"/>
        <v>828.33685419650556</v>
      </c>
      <c r="AP121" s="259">
        <f t="shared" si="134"/>
        <v>0.19405229652900022</v>
      </c>
      <c r="AQ121" s="258">
        <f t="shared" si="148"/>
        <v>152.90891281543736</v>
      </c>
      <c r="AR121" s="257">
        <f t="shared" si="135"/>
        <v>2.999999999999994E-2</v>
      </c>
      <c r="AS121" s="258">
        <f t="shared" si="136"/>
        <v>981.24576701194292</v>
      </c>
      <c r="AT121" s="261">
        <f t="shared" si="137"/>
        <v>0.22987386542487015</v>
      </c>
      <c r="AU121" s="340"/>
    </row>
    <row r="122" spans="1:47" ht="13.5" thickBot="1" x14ac:dyDescent="0.25">
      <c r="A122" s="26"/>
      <c r="B122" s="38"/>
      <c r="C122" s="216" t="s">
        <v>15</v>
      </c>
      <c r="D122" s="195">
        <v>9</v>
      </c>
      <c r="E122" s="264">
        <v>3000000</v>
      </c>
      <c r="F122" s="125">
        <v>4732.8314263920674</v>
      </c>
      <c r="G122" s="23">
        <f t="shared" si="138"/>
        <v>4874.8163691838299</v>
      </c>
      <c r="H122" s="23">
        <f t="shared" si="138"/>
        <v>5021.0608602593447</v>
      </c>
      <c r="I122" s="23">
        <f t="shared" si="138"/>
        <v>5171.6926860671256</v>
      </c>
      <c r="J122" s="23">
        <f t="shared" si="138"/>
        <v>5326.8434666491394</v>
      </c>
      <c r="K122" s="23">
        <f t="shared" si="138"/>
        <v>5486.6487706486141</v>
      </c>
      <c r="L122" s="23">
        <f t="shared" si="138"/>
        <v>5651.2482337680731</v>
      </c>
      <c r="M122" s="23">
        <f t="shared" si="138"/>
        <v>5820.7856807811158</v>
      </c>
      <c r="N122" s="38"/>
      <c r="O122" s="38"/>
      <c r="P122" s="265">
        <v>3000000</v>
      </c>
      <c r="Q122" s="347">
        <f t="shared" si="139"/>
        <v>141.98494279176248</v>
      </c>
      <c r="R122" s="342">
        <f t="shared" si="122"/>
        <v>3.0000000000000096E-2</v>
      </c>
      <c r="S122" s="347">
        <f t="shared" si="140"/>
        <v>146.24449107551482</v>
      </c>
      <c r="T122" s="349">
        <f t="shared" si="123"/>
        <v>2.9999999999999982E-2</v>
      </c>
      <c r="U122" s="341">
        <f t="shared" si="141"/>
        <v>288.22943386727729</v>
      </c>
      <c r="V122" s="348">
        <f t="shared" si="124"/>
        <v>6.0900000000000079E-2</v>
      </c>
      <c r="W122" s="341">
        <f t="shared" si="142"/>
        <v>150.63182580778084</v>
      </c>
      <c r="X122" s="342">
        <f t="shared" si="125"/>
        <v>3.00000000000001E-2</v>
      </c>
      <c r="Y122" s="271">
        <f t="shared" si="143"/>
        <v>438.86125967505814</v>
      </c>
      <c r="Z122" s="342">
        <f t="shared" si="126"/>
        <v>9.2727000000000184E-2</v>
      </c>
      <c r="AA122" s="266">
        <f t="shared" si="144"/>
        <v>155.15078058201379</v>
      </c>
      <c r="AB122" s="268">
        <f t="shared" si="127"/>
        <v>3.0000000000000006E-2</v>
      </c>
      <c r="AC122" s="271">
        <f t="shared" si="145"/>
        <v>594.01204025707193</v>
      </c>
      <c r="AD122" s="274">
        <f t="shared" si="128"/>
        <v>0.12550881000000019</v>
      </c>
      <c r="AE122" s="288">
        <v>3000000</v>
      </c>
      <c r="AF122" s="350"/>
      <c r="AG122" s="38"/>
      <c r="AH122" s="289">
        <v>3000000</v>
      </c>
      <c r="AI122" s="266">
        <f t="shared" si="146"/>
        <v>159.80530399947475</v>
      </c>
      <c r="AJ122" s="267">
        <f t="shared" si="129"/>
        <v>3.0000000000000106E-2</v>
      </c>
      <c r="AK122" s="271">
        <f t="shared" si="130"/>
        <v>753.81734425654668</v>
      </c>
      <c r="AL122" s="267">
        <f t="shared" si="131"/>
        <v>0.15927407430000032</v>
      </c>
      <c r="AM122" s="266">
        <f t="shared" si="147"/>
        <v>164.59946311945896</v>
      </c>
      <c r="AN122" s="268">
        <f t="shared" si="132"/>
        <v>3.00000000000001E-2</v>
      </c>
      <c r="AO122" s="269">
        <f t="shared" si="133"/>
        <v>918.41680737600564</v>
      </c>
      <c r="AP122" s="270">
        <f t="shared" si="134"/>
        <v>0.19405229652900044</v>
      </c>
      <c r="AQ122" s="269">
        <f t="shared" si="148"/>
        <v>169.53744701304277</v>
      </c>
      <c r="AR122" s="268">
        <f t="shared" si="135"/>
        <v>3.0000000000000103E-2</v>
      </c>
      <c r="AS122" s="269">
        <f t="shared" si="136"/>
        <v>1087.9542543890484</v>
      </c>
      <c r="AT122" s="274">
        <f t="shared" si="137"/>
        <v>0.22987386542487059</v>
      </c>
      <c r="AU122" s="340"/>
    </row>
    <row r="123" spans="1:47" ht="13.5" thickTop="1" x14ac:dyDescent="0.2">
      <c r="A123" s="26"/>
      <c r="B123" s="38"/>
      <c r="C123" s="338"/>
      <c r="D123" s="353"/>
      <c r="E123" s="276"/>
      <c r="F123" s="338"/>
      <c r="G123" s="338"/>
      <c r="H123" s="338"/>
      <c r="I123" s="338"/>
      <c r="J123" s="338"/>
      <c r="K123" s="338"/>
      <c r="L123" s="338"/>
      <c r="M123" s="338"/>
      <c r="N123" s="38"/>
      <c r="O123" s="38"/>
      <c r="P123" s="276"/>
      <c r="Q123" s="345"/>
      <c r="R123" s="346"/>
      <c r="S123" s="345"/>
      <c r="T123" s="346"/>
      <c r="U123" s="345"/>
      <c r="V123" s="346"/>
      <c r="W123" s="345"/>
      <c r="X123" s="346"/>
      <c r="Y123" s="339"/>
      <c r="Z123" s="346"/>
      <c r="AA123" s="339"/>
      <c r="AB123" s="340"/>
      <c r="AC123" s="339"/>
      <c r="AD123" s="340"/>
      <c r="AE123" s="276"/>
      <c r="AF123" s="38"/>
      <c r="AG123" s="38"/>
      <c r="AH123" s="276"/>
      <c r="AI123" s="339"/>
      <c r="AJ123" s="340"/>
      <c r="AK123" s="339"/>
      <c r="AL123" s="340"/>
      <c r="AM123" s="339"/>
      <c r="AN123" s="340"/>
      <c r="AO123" s="339"/>
      <c r="AP123" s="340"/>
      <c r="AQ123" s="339"/>
      <c r="AR123" s="340"/>
      <c r="AS123" s="339"/>
      <c r="AT123" s="340"/>
      <c r="AU123" s="340"/>
    </row>
    <row r="124" spans="1:47" ht="15.75" x14ac:dyDescent="0.25">
      <c r="A124" s="26"/>
      <c r="B124" s="38"/>
      <c r="C124" s="84" t="s">
        <v>3</v>
      </c>
      <c r="D124" s="38"/>
      <c r="E124" s="222"/>
      <c r="F124" s="38"/>
      <c r="G124" s="38"/>
      <c r="H124" s="38"/>
      <c r="I124" s="38"/>
      <c r="J124" s="38"/>
      <c r="K124" s="38"/>
      <c r="L124" s="38"/>
      <c r="M124" s="38"/>
      <c r="N124" s="38"/>
      <c r="O124" s="38"/>
      <c r="P124" s="84" t="s">
        <v>3</v>
      </c>
      <c r="Q124" s="38"/>
      <c r="R124" s="38"/>
      <c r="S124" s="38"/>
      <c r="T124" s="38"/>
      <c r="U124" s="38"/>
      <c r="V124" s="38"/>
      <c r="W124" s="38"/>
      <c r="X124" s="38"/>
      <c r="Y124" s="38"/>
      <c r="Z124" s="38"/>
      <c r="AA124" s="38"/>
      <c r="AB124" s="38"/>
      <c r="AC124" s="38"/>
      <c r="AD124" s="38"/>
      <c r="AE124" s="38"/>
      <c r="AF124" s="38"/>
      <c r="AG124" s="38"/>
      <c r="AH124" s="84" t="s">
        <v>3</v>
      </c>
      <c r="AI124" s="38"/>
      <c r="AJ124" s="38"/>
      <c r="AK124" s="38"/>
      <c r="AL124" s="38"/>
      <c r="AM124" s="38"/>
      <c r="AN124" s="38"/>
      <c r="AO124" s="38"/>
      <c r="AP124" s="38"/>
      <c r="AQ124" s="38"/>
      <c r="AR124" s="38"/>
      <c r="AS124" s="38"/>
      <c r="AT124" s="38"/>
      <c r="AU124" s="38"/>
    </row>
    <row r="125" spans="1:47" ht="16.5" thickBot="1" x14ac:dyDescent="0.3">
      <c r="A125" s="26"/>
      <c r="B125" s="38"/>
      <c r="C125" s="84"/>
      <c r="D125" s="38"/>
      <c r="E125" s="222"/>
      <c r="F125" s="38"/>
      <c r="G125" s="38"/>
      <c r="H125" s="38"/>
      <c r="I125" s="38"/>
      <c r="J125" s="38"/>
      <c r="K125" s="38"/>
      <c r="L125" s="38"/>
      <c r="M125" s="38"/>
      <c r="N125" s="38"/>
      <c r="O125" s="38"/>
      <c r="P125" s="38"/>
      <c r="Q125" s="277"/>
      <c r="R125" s="277"/>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row>
    <row r="126" spans="1:47" ht="17.25" thickTop="1" thickBot="1" x14ac:dyDescent="0.3">
      <c r="A126" s="26"/>
      <c r="B126" s="38"/>
      <c r="C126" s="38"/>
      <c r="D126" s="38"/>
      <c r="E126" s="222"/>
      <c r="F126" s="226"/>
      <c r="G126" s="282"/>
      <c r="H126" s="814" t="s">
        <v>403</v>
      </c>
      <c r="I126" s="815"/>
      <c r="J126" s="815"/>
      <c r="K126" s="815"/>
      <c r="L126" s="815"/>
      <c r="M126" s="816"/>
      <c r="N126" s="38"/>
      <c r="O126" s="38"/>
      <c r="P126" s="38"/>
      <c r="Q126" s="820" t="s">
        <v>906</v>
      </c>
      <c r="R126" s="821"/>
      <c r="S126" s="821"/>
      <c r="T126" s="821"/>
      <c r="U126" s="821"/>
      <c r="V126" s="821"/>
      <c r="W126" s="821"/>
      <c r="X126" s="821"/>
      <c r="Y126" s="821"/>
      <c r="Z126" s="821"/>
      <c r="AA126" s="821"/>
      <c r="AB126" s="821"/>
      <c r="AC126" s="821"/>
      <c r="AD126" s="822"/>
      <c r="AE126" s="228"/>
      <c r="AF126" s="38"/>
      <c r="AG126" s="38"/>
      <c r="AH126" s="820" t="s">
        <v>906</v>
      </c>
      <c r="AI126" s="821"/>
      <c r="AJ126" s="821"/>
      <c r="AK126" s="821"/>
      <c r="AL126" s="821"/>
      <c r="AM126" s="821"/>
      <c r="AN126" s="821"/>
      <c r="AO126" s="821"/>
      <c r="AP126" s="821"/>
      <c r="AQ126" s="821"/>
      <c r="AR126" s="821"/>
      <c r="AS126" s="821"/>
      <c r="AT126" s="822"/>
      <c r="AU126" s="352"/>
    </row>
    <row r="127" spans="1:47" ht="55.5" customHeight="1" thickTop="1" x14ac:dyDescent="0.2">
      <c r="A127" s="26"/>
      <c r="B127" s="38"/>
      <c r="C127" s="230" t="s">
        <v>389</v>
      </c>
      <c r="D127" s="834" t="s">
        <v>888</v>
      </c>
      <c r="E127" s="231" t="s">
        <v>393</v>
      </c>
      <c r="F127" s="232" t="s">
        <v>410</v>
      </c>
      <c r="G127" s="215" t="s">
        <v>919</v>
      </c>
      <c r="H127" s="215" t="s">
        <v>920</v>
      </c>
      <c r="I127" s="215" t="s">
        <v>921</v>
      </c>
      <c r="J127" s="215" t="s">
        <v>922</v>
      </c>
      <c r="K127" s="215" t="s">
        <v>923</v>
      </c>
      <c r="L127" s="215" t="s">
        <v>924</v>
      </c>
      <c r="M127" s="283" t="s">
        <v>925</v>
      </c>
      <c r="N127" s="38"/>
      <c r="O127" s="38"/>
      <c r="P127" s="235" t="s">
        <v>393</v>
      </c>
      <c r="Q127" s="837" t="s">
        <v>394</v>
      </c>
      <c r="R127" s="826"/>
      <c r="S127" s="831" t="s">
        <v>395</v>
      </c>
      <c r="T127" s="832"/>
      <c r="U127" s="832"/>
      <c r="V127" s="833"/>
      <c r="W127" s="794" t="s">
        <v>396</v>
      </c>
      <c r="X127" s="826"/>
      <c r="Y127" s="826"/>
      <c r="Z127" s="826"/>
      <c r="AA127" s="831" t="s">
        <v>397</v>
      </c>
      <c r="AB127" s="832"/>
      <c r="AC127" s="832"/>
      <c r="AD127" s="836"/>
      <c r="AE127" s="284" t="s">
        <v>393</v>
      </c>
      <c r="AF127" s="38"/>
      <c r="AG127" s="38"/>
      <c r="AH127" s="278" t="s">
        <v>393</v>
      </c>
      <c r="AI127" s="831" t="s">
        <v>398</v>
      </c>
      <c r="AJ127" s="832"/>
      <c r="AK127" s="832"/>
      <c r="AL127" s="833"/>
      <c r="AM127" s="794" t="s">
        <v>399</v>
      </c>
      <c r="AN127" s="826"/>
      <c r="AO127" s="826"/>
      <c r="AP127" s="826"/>
      <c r="AQ127" s="831" t="s">
        <v>400</v>
      </c>
      <c r="AR127" s="832"/>
      <c r="AS127" s="832"/>
      <c r="AT127" s="836"/>
      <c r="AU127" s="236"/>
    </row>
    <row r="128" spans="1:47" ht="12.75" x14ac:dyDescent="0.2">
      <c r="A128" s="26"/>
      <c r="B128" s="38"/>
      <c r="C128" s="239"/>
      <c r="D128" s="835"/>
      <c r="E128" s="240"/>
      <c r="F128" s="160" t="str">
        <f>F108</f>
        <v>2014/15</v>
      </c>
      <c r="G128" s="160" t="str">
        <f t="shared" ref="G128:M128" si="149">G108</f>
        <v>2015/16</v>
      </c>
      <c r="H128" s="160" t="str">
        <f t="shared" si="149"/>
        <v>2016/17</v>
      </c>
      <c r="I128" s="160" t="str">
        <f t="shared" si="149"/>
        <v>2017/18</v>
      </c>
      <c r="J128" s="160" t="str">
        <f t="shared" si="149"/>
        <v>2018/19</v>
      </c>
      <c r="K128" s="160" t="str">
        <f t="shared" si="149"/>
        <v>2019/20</v>
      </c>
      <c r="L128" s="160" t="str">
        <f t="shared" si="149"/>
        <v>2020/21</v>
      </c>
      <c r="M128" s="182" t="str">
        <f t="shared" si="149"/>
        <v>2021/22</v>
      </c>
      <c r="N128" s="38"/>
      <c r="O128" s="38"/>
      <c r="P128" s="241" t="s">
        <v>129</v>
      </c>
      <c r="Q128" s="242" t="s">
        <v>102</v>
      </c>
      <c r="R128" s="243" t="s">
        <v>125</v>
      </c>
      <c r="S128" s="242" t="s">
        <v>102</v>
      </c>
      <c r="T128" s="244" t="s">
        <v>125</v>
      </c>
      <c r="U128" s="245" t="s">
        <v>103</v>
      </c>
      <c r="V128" s="246" t="s">
        <v>125</v>
      </c>
      <c r="W128" s="245" t="s">
        <v>102</v>
      </c>
      <c r="X128" s="247" t="s">
        <v>125</v>
      </c>
      <c r="Y128" s="244" t="s">
        <v>103</v>
      </c>
      <c r="Z128" s="243" t="s">
        <v>125</v>
      </c>
      <c r="AA128" s="242" t="s">
        <v>102</v>
      </c>
      <c r="AB128" s="244" t="s">
        <v>125</v>
      </c>
      <c r="AC128" s="244" t="s">
        <v>103</v>
      </c>
      <c r="AD128" s="248" t="s">
        <v>125</v>
      </c>
      <c r="AE128" s="285"/>
      <c r="AF128" s="38"/>
      <c r="AG128" s="38"/>
      <c r="AH128" s="286" t="s">
        <v>129</v>
      </c>
      <c r="AI128" s="242" t="s">
        <v>102</v>
      </c>
      <c r="AJ128" s="247" t="s">
        <v>125</v>
      </c>
      <c r="AK128" s="244" t="s">
        <v>103</v>
      </c>
      <c r="AL128" s="246" t="s">
        <v>125</v>
      </c>
      <c r="AM128" s="245" t="s">
        <v>102</v>
      </c>
      <c r="AN128" s="247" t="s">
        <v>125</v>
      </c>
      <c r="AO128" s="244" t="s">
        <v>103</v>
      </c>
      <c r="AP128" s="243" t="s">
        <v>125</v>
      </c>
      <c r="AQ128" s="242" t="s">
        <v>102</v>
      </c>
      <c r="AR128" s="247" t="s">
        <v>125</v>
      </c>
      <c r="AS128" s="244" t="s">
        <v>103</v>
      </c>
      <c r="AT128" s="248" t="s">
        <v>125</v>
      </c>
      <c r="AU128" s="351"/>
    </row>
    <row r="129" spans="1:47" ht="12.75" x14ac:dyDescent="0.2">
      <c r="A129" s="26"/>
      <c r="B129" s="38"/>
      <c r="C129" s="252" t="s">
        <v>14</v>
      </c>
      <c r="D129" s="356">
        <f>IF(D109="","",D109)</f>
        <v>5</v>
      </c>
      <c r="E129" s="253">
        <v>50000</v>
      </c>
      <c r="F129" s="23">
        <f>+F109</f>
        <v>571.48527298850581</v>
      </c>
      <c r="G129" s="23">
        <f>+F129*1.03</f>
        <v>588.629831178161</v>
      </c>
      <c r="H129" s="23">
        <f t="shared" ref="H129:M129" si="150">+G129*1.03</f>
        <v>606.28872611350585</v>
      </c>
      <c r="I129" s="23">
        <f t="shared" si="150"/>
        <v>624.47738789691107</v>
      </c>
      <c r="J129" s="23">
        <f t="shared" si="150"/>
        <v>643.21170953381841</v>
      </c>
      <c r="K129" s="23">
        <f t="shared" si="150"/>
        <v>662.50806081983296</v>
      </c>
      <c r="L129" s="23">
        <f t="shared" si="150"/>
        <v>682.383302644428</v>
      </c>
      <c r="M129" s="23">
        <f t="shared" si="150"/>
        <v>702.85480172376083</v>
      </c>
      <c r="N129" s="38"/>
      <c r="O129" s="38"/>
      <c r="P129" s="254">
        <v>50000</v>
      </c>
      <c r="Q129" s="255">
        <f>IF(G129="","",IF(F129=0,"",G129-F129))</f>
        <v>17.144558189655186</v>
      </c>
      <c r="R129" s="256">
        <f t="shared" ref="R129:R142" si="151">IF(Q129="","",Q129/F129)</f>
        <v>3.000000000000002E-2</v>
      </c>
      <c r="S129" s="255">
        <f>IF(H129="","",IF(G129=0,"",H129-G129))</f>
        <v>17.658894935344847</v>
      </c>
      <c r="T129" s="257">
        <f t="shared" ref="T129:T142" si="152">IF(S129="","",S129/G129)</f>
        <v>3.000000000000003E-2</v>
      </c>
      <c r="U129" s="258">
        <f>IF(S129="","",S129+Q129)</f>
        <v>34.803453125000033</v>
      </c>
      <c r="V129" s="259">
        <f t="shared" ref="V129:V142" si="153">IF(T129="","",U129/F129)</f>
        <v>6.0900000000000051E-2</v>
      </c>
      <c r="W129" s="258">
        <f>IF(I129="","",IF(H129=0,"",I129-H129))</f>
        <v>18.188661783405223</v>
      </c>
      <c r="X129" s="256">
        <f t="shared" ref="X129:X142" si="154">IF(W129="","",W129/H129)</f>
        <v>3.0000000000000079E-2</v>
      </c>
      <c r="Y129" s="260">
        <f>IF(W129="","",W129+U129)</f>
        <v>52.992114908405256</v>
      </c>
      <c r="Z129" s="256">
        <f t="shared" ref="Z129:Z142" si="155">IF(X129="","",Y129/F129)</f>
        <v>9.2727000000000129E-2</v>
      </c>
      <c r="AA129" s="255">
        <f>IF(J129="","",IF(I129=0,"",J129-I129))</f>
        <v>18.734321636907339</v>
      </c>
      <c r="AB129" s="257">
        <f t="shared" ref="AB129:AB142" si="156">IF(AA129="","",AA129/I129)</f>
        <v>3.0000000000000009E-2</v>
      </c>
      <c r="AC129" s="260">
        <f>IF(AA129="","",AA129+Y129)</f>
        <v>71.726436545312595</v>
      </c>
      <c r="AD129" s="261">
        <f t="shared" ref="AD129:AD142" si="157">IF(AB129="","",AC129/F129)</f>
        <v>0.12550881000000016</v>
      </c>
      <c r="AE129" s="287">
        <v>50000</v>
      </c>
      <c r="AF129" s="38"/>
      <c r="AG129" s="38"/>
      <c r="AH129" s="287">
        <v>50000</v>
      </c>
      <c r="AI129" s="255">
        <f>IF(K129="","",IF(J129=0,"",K129-J129))</f>
        <v>19.296351286014556</v>
      </c>
      <c r="AJ129" s="256">
        <f t="shared" ref="AJ129:AJ142" si="158">IF(AI129="","",AI129/J129)</f>
        <v>3.0000000000000006E-2</v>
      </c>
      <c r="AK129" s="260">
        <f t="shared" ref="AK129:AK142" si="159">IF(AI129="","",AI129+AC129)</f>
        <v>91.02278783132715</v>
      </c>
      <c r="AL129" s="256">
        <f t="shared" ref="AL129:AL142" si="160">IF(AK129="","",AK129/F129)</f>
        <v>0.15927407430000015</v>
      </c>
      <c r="AM129" s="255">
        <f>IF(L129="","",IF(K129=0,"",L129-K129))</f>
        <v>19.875241824595037</v>
      </c>
      <c r="AN129" s="257">
        <f t="shared" ref="AN129:AN142" si="161">IF(AM129="","",AM129/K129)</f>
        <v>3.0000000000000072E-2</v>
      </c>
      <c r="AO129" s="258">
        <f t="shared" ref="AO129:AO142" si="162">IF(AM129="","",AM129+AK129)</f>
        <v>110.89802965592219</v>
      </c>
      <c r="AP129" s="259">
        <f t="shared" ref="AP129:AP142" si="163">IF(AO129="","",AO129/F129)</f>
        <v>0.19405229652900025</v>
      </c>
      <c r="AQ129" s="258">
        <f>IF(M129="","",IF(L129=0,"",M129-L129))</f>
        <v>20.47149907933283</v>
      </c>
      <c r="AR129" s="257">
        <f t="shared" ref="AR129:AR142" si="164">IF(AQ129="","",AQ129/L129)</f>
        <v>2.9999999999999985E-2</v>
      </c>
      <c r="AS129" s="258">
        <f t="shared" ref="AS129:AS142" si="165">IF(AQ129="","",AQ129+AO129)</f>
        <v>131.36952873525502</v>
      </c>
      <c r="AT129" s="261">
        <f t="shared" ref="AT129:AT142" si="166">IF(AS129="","",AS129/F129)</f>
        <v>0.22987386542487023</v>
      </c>
      <c r="AU129" s="340"/>
    </row>
    <row r="130" spans="1:47" ht="12.75" x14ac:dyDescent="0.2">
      <c r="A130" s="26"/>
      <c r="B130" s="38"/>
      <c r="C130" s="252" t="s">
        <v>380</v>
      </c>
      <c r="D130" s="356">
        <f t="shared" ref="D130:D142" si="167">IF(D110="","",D110)</f>
        <v>12</v>
      </c>
      <c r="E130" s="253">
        <v>150000</v>
      </c>
      <c r="F130" s="23">
        <f t="shared" ref="F130:F142" si="168">+F110</f>
        <v>744.45488721804509</v>
      </c>
      <c r="G130" s="23">
        <f t="shared" ref="G130:M142" si="169">+F130*1.03</f>
        <v>766.78853383458647</v>
      </c>
      <c r="H130" s="23">
        <f t="shared" si="169"/>
        <v>789.79218984962404</v>
      </c>
      <c r="I130" s="23">
        <f t="shared" si="169"/>
        <v>813.4859555451128</v>
      </c>
      <c r="J130" s="23">
        <f t="shared" si="169"/>
        <v>837.89053421146616</v>
      </c>
      <c r="K130" s="23">
        <f t="shared" si="169"/>
        <v>863.02725023781022</v>
      </c>
      <c r="L130" s="23">
        <f t="shared" si="169"/>
        <v>888.91806774494455</v>
      </c>
      <c r="M130" s="23">
        <f t="shared" si="169"/>
        <v>915.58560977729292</v>
      </c>
      <c r="N130" s="38"/>
      <c r="O130" s="38"/>
      <c r="P130" s="254">
        <v>150000</v>
      </c>
      <c r="Q130" s="255">
        <f t="shared" ref="Q130:Q142" si="170">IF(G130="","",IF(F130=0,"",G130-F130))</f>
        <v>22.333646616541387</v>
      </c>
      <c r="R130" s="256">
        <f t="shared" si="151"/>
        <v>3.0000000000000047E-2</v>
      </c>
      <c r="S130" s="255">
        <f t="shared" ref="S130:S142" si="171">IF(H130="","",IF(G130=0,"",H130-G130))</f>
        <v>23.003656015037564</v>
      </c>
      <c r="T130" s="257">
        <f t="shared" si="152"/>
        <v>2.9999999999999961E-2</v>
      </c>
      <c r="U130" s="258">
        <f t="shared" ref="U130:U142" si="172">IF(S130="","",S130+Q130)</f>
        <v>45.33730263157895</v>
      </c>
      <c r="V130" s="259">
        <f t="shared" si="153"/>
        <v>6.0900000000000003E-2</v>
      </c>
      <c r="W130" s="258">
        <f t="shared" ref="W130:W142" si="173">IF(I130="","",IF(H130=0,"",I130-H130))</f>
        <v>23.693765695488764</v>
      </c>
      <c r="X130" s="256">
        <f t="shared" si="154"/>
        <v>3.0000000000000054E-2</v>
      </c>
      <c r="Y130" s="260">
        <f t="shared" ref="Y130:Y142" si="174">IF(W130="","",W130+U130)</f>
        <v>69.031068327067715</v>
      </c>
      <c r="Z130" s="256">
        <f t="shared" si="155"/>
        <v>9.2727000000000059E-2</v>
      </c>
      <c r="AA130" s="255">
        <f t="shared" ref="AA130:AA142" si="175">IF(J130="","",IF(I130=0,"",J130-I130))</f>
        <v>24.404578666353359</v>
      </c>
      <c r="AB130" s="257">
        <f t="shared" si="156"/>
        <v>2.9999999999999968E-2</v>
      </c>
      <c r="AC130" s="260">
        <f t="shared" ref="AC130:AC142" si="176">IF(AA130="","",AA130+Y130)</f>
        <v>93.435646993421074</v>
      </c>
      <c r="AD130" s="261">
        <f t="shared" si="157"/>
        <v>0.12550881000000003</v>
      </c>
      <c r="AE130" s="287">
        <v>150000</v>
      </c>
      <c r="AF130" s="38"/>
      <c r="AG130" s="38"/>
      <c r="AH130" s="287">
        <v>150000</v>
      </c>
      <c r="AI130" s="255">
        <f t="shared" ref="AI130:AI142" si="177">IF(K130="","",IF(J130=0,"",K130-J130))</f>
        <v>25.136716026344061</v>
      </c>
      <c r="AJ130" s="256">
        <f t="shared" si="158"/>
        <v>3.0000000000000093E-2</v>
      </c>
      <c r="AK130" s="260">
        <f t="shared" si="159"/>
        <v>118.57236301976513</v>
      </c>
      <c r="AL130" s="256">
        <f t="shared" si="160"/>
        <v>0.15927407430000012</v>
      </c>
      <c r="AM130" s="255">
        <f t="shared" ref="AM130:AM142" si="178">IF(L130="","",IF(K130=0,"",L130-K130))</f>
        <v>25.890817507134329</v>
      </c>
      <c r="AN130" s="257">
        <f t="shared" si="161"/>
        <v>3.0000000000000027E-2</v>
      </c>
      <c r="AO130" s="258">
        <f t="shared" si="162"/>
        <v>144.46318052689946</v>
      </c>
      <c r="AP130" s="259">
        <f t="shared" si="163"/>
        <v>0.19405229652900016</v>
      </c>
      <c r="AQ130" s="258">
        <f t="shared" ref="AQ130:AQ142" si="179">IF(M130="","",IF(L130=0,"",M130-L130))</f>
        <v>26.667542032348365</v>
      </c>
      <c r="AR130" s="257">
        <f t="shared" si="164"/>
        <v>3.0000000000000034E-2</v>
      </c>
      <c r="AS130" s="258">
        <f t="shared" si="165"/>
        <v>171.13072255924783</v>
      </c>
      <c r="AT130" s="261">
        <f t="shared" si="166"/>
        <v>0.22987386542487021</v>
      </c>
      <c r="AU130" s="340"/>
    </row>
    <row r="131" spans="1:47" ht="12.75" x14ac:dyDescent="0.2">
      <c r="A131" s="26"/>
      <c r="B131" s="38"/>
      <c r="C131" s="252" t="s">
        <v>381</v>
      </c>
      <c r="D131" s="356">
        <f t="shared" si="167"/>
        <v>29</v>
      </c>
      <c r="E131" s="253">
        <v>250000</v>
      </c>
      <c r="F131" s="23">
        <f t="shared" si="168"/>
        <v>902.44767290691618</v>
      </c>
      <c r="G131" s="23">
        <f t="shared" si="169"/>
        <v>929.52110309412365</v>
      </c>
      <c r="H131" s="23">
        <f t="shared" si="169"/>
        <v>957.40673618694734</v>
      </c>
      <c r="I131" s="23">
        <f t="shared" si="169"/>
        <v>986.12893827255584</v>
      </c>
      <c r="J131" s="23">
        <f t="shared" si="169"/>
        <v>1015.7128064207326</v>
      </c>
      <c r="K131" s="23">
        <f t="shared" si="169"/>
        <v>1046.1841906133545</v>
      </c>
      <c r="L131" s="23">
        <f t="shared" si="169"/>
        <v>1077.5697163317552</v>
      </c>
      <c r="M131" s="23">
        <f t="shared" si="169"/>
        <v>1109.8968078217079</v>
      </c>
      <c r="N131" s="38"/>
      <c r="O131" s="38"/>
      <c r="P131" s="254">
        <v>250000</v>
      </c>
      <c r="Q131" s="255">
        <f t="shared" si="170"/>
        <v>27.073430187207464</v>
      </c>
      <c r="R131" s="256">
        <f t="shared" si="151"/>
        <v>2.9999999999999975E-2</v>
      </c>
      <c r="S131" s="255">
        <f t="shared" si="171"/>
        <v>27.885633092823696</v>
      </c>
      <c r="T131" s="257">
        <f t="shared" si="152"/>
        <v>2.9999999999999985E-2</v>
      </c>
      <c r="U131" s="258">
        <f t="shared" si="172"/>
        <v>54.95906328003116</v>
      </c>
      <c r="V131" s="259">
        <f t="shared" si="153"/>
        <v>6.0899999999999961E-2</v>
      </c>
      <c r="W131" s="258">
        <f t="shared" si="173"/>
        <v>28.722202085608501</v>
      </c>
      <c r="X131" s="256">
        <f t="shared" si="154"/>
        <v>3.0000000000000086E-2</v>
      </c>
      <c r="Y131" s="260">
        <f t="shared" si="174"/>
        <v>83.681265365639661</v>
      </c>
      <c r="Z131" s="256">
        <f t="shared" si="155"/>
        <v>9.2727000000000045E-2</v>
      </c>
      <c r="AA131" s="255">
        <f t="shared" si="175"/>
        <v>29.583868148176748</v>
      </c>
      <c r="AB131" s="257">
        <f t="shared" si="156"/>
        <v>3.0000000000000075E-2</v>
      </c>
      <c r="AC131" s="260">
        <f t="shared" si="176"/>
        <v>113.26513351381641</v>
      </c>
      <c r="AD131" s="261">
        <f t="shared" si="157"/>
        <v>0.12550881000000014</v>
      </c>
      <c r="AE131" s="287">
        <v>250000</v>
      </c>
      <c r="AF131" s="38"/>
      <c r="AG131" s="38"/>
      <c r="AH131" s="287">
        <v>250000</v>
      </c>
      <c r="AI131" s="255">
        <f t="shared" si="177"/>
        <v>30.47138419262194</v>
      </c>
      <c r="AJ131" s="256">
        <f t="shared" si="158"/>
        <v>2.9999999999999964E-2</v>
      </c>
      <c r="AK131" s="260">
        <f t="shared" si="159"/>
        <v>143.73651770643835</v>
      </c>
      <c r="AL131" s="256">
        <f t="shared" si="160"/>
        <v>0.1592740743000001</v>
      </c>
      <c r="AM131" s="255">
        <f t="shared" si="178"/>
        <v>31.385525718400686</v>
      </c>
      <c r="AN131" s="257">
        <f t="shared" si="161"/>
        <v>3.0000000000000047E-2</v>
      </c>
      <c r="AO131" s="258">
        <f t="shared" si="162"/>
        <v>175.12204342483903</v>
      </c>
      <c r="AP131" s="259">
        <f t="shared" si="163"/>
        <v>0.19405229652900016</v>
      </c>
      <c r="AQ131" s="258">
        <f t="shared" si="179"/>
        <v>32.327091489952636</v>
      </c>
      <c r="AR131" s="257">
        <f t="shared" si="164"/>
        <v>2.9999999999999982E-2</v>
      </c>
      <c r="AS131" s="258">
        <f t="shared" si="165"/>
        <v>207.44913491479167</v>
      </c>
      <c r="AT131" s="261">
        <f t="shared" si="166"/>
        <v>0.22987386542487012</v>
      </c>
      <c r="AU131" s="340"/>
    </row>
    <row r="132" spans="1:47" ht="12.75" x14ac:dyDescent="0.2">
      <c r="A132" s="26"/>
      <c r="B132" s="38"/>
      <c r="C132" s="252" t="s">
        <v>382</v>
      </c>
      <c r="D132" s="356">
        <f t="shared" si="167"/>
        <v>59</v>
      </c>
      <c r="E132" s="253">
        <v>350000</v>
      </c>
      <c r="F132" s="23">
        <f t="shared" si="168"/>
        <v>1076.4038664117675</v>
      </c>
      <c r="G132" s="23">
        <f t="shared" si="169"/>
        <v>1108.6959824041205</v>
      </c>
      <c r="H132" s="23">
        <f t="shared" si="169"/>
        <v>1141.9568618762441</v>
      </c>
      <c r="I132" s="23">
        <f t="shared" si="169"/>
        <v>1176.2155677325316</v>
      </c>
      <c r="J132" s="23">
        <f t="shared" si="169"/>
        <v>1211.5020347645075</v>
      </c>
      <c r="K132" s="23">
        <f t="shared" si="169"/>
        <v>1247.8470958074427</v>
      </c>
      <c r="L132" s="23">
        <f t="shared" si="169"/>
        <v>1285.2825086816661</v>
      </c>
      <c r="M132" s="23">
        <f t="shared" si="169"/>
        <v>1323.8409839421161</v>
      </c>
      <c r="N132" s="38"/>
      <c r="O132" s="38"/>
      <c r="P132" s="254">
        <v>350000</v>
      </c>
      <c r="Q132" s="255">
        <f t="shared" si="170"/>
        <v>32.292115992353047</v>
      </c>
      <c r="R132" s="256">
        <f t="shared" si="151"/>
        <v>3.000000000000002E-2</v>
      </c>
      <c r="S132" s="255">
        <f t="shared" si="171"/>
        <v>33.260879472123634</v>
      </c>
      <c r="T132" s="257">
        <f t="shared" si="152"/>
        <v>3.0000000000000016E-2</v>
      </c>
      <c r="U132" s="258">
        <f t="shared" si="172"/>
        <v>65.55299546447668</v>
      </c>
      <c r="V132" s="259">
        <f t="shared" si="153"/>
        <v>6.0900000000000037E-2</v>
      </c>
      <c r="W132" s="258">
        <f t="shared" si="173"/>
        <v>34.258705856287406</v>
      </c>
      <c r="X132" s="256">
        <f t="shared" si="154"/>
        <v>3.0000000000000072E-2</v>
      </c>
      <c r="Y132" s="260">
        <f t="shared" si="174"/>
        <v>99.811701320764087</v>
      </c>
      <c r="Z132" s="256">
        <f t="shared" si="155"/>
        <v>9.2727000000000115E-2</v>
      </c>
      <c r="AA132" s="255">
        <f t="shared" si="175"/>
        <v>35.286467031975917</v>
      </c>
      <c r="AB132" s="257">
        <f t="shared" si="156"/>
        <v>2.9999999999999975E-2</v>
      </c>
      <c r="AC132" s="260">
        <f t="shared" si="176"/>
        <v>135.09816835274</v>
      </c>
      <c r="AD132" s="261">
        <f t="shared" si="157"/>
        <v>0.12550881000000008</v>
      </c>
      <c r="AE132" s="287">
        <v>350000</v>
      </c>
      <c r="AF132" s="38"/>
      <c r="AG132" s="38"/>
      <c r="AH132" s="287">
        <v>350000</v>
      </c>
      <c r="AI132" s="255">
        <f t="shared" si="177"/>
        <v>36.345061042935185</v>
      </c>
      <c r="AJ132" s="256">
        <f t="shared" si="158"/>
        <v>2.9999999999999968E-2</v>
      </c>
      <c r="AK132" s="260">
        <f t="shared" si="159"/>
        <v>171.44322939567519</v>
      </c>
      <c r="AL132" s="256">
        <f t="shared" si="160"/>
        <v>0.15927407430000007</v>
      </c>
      <c r="AM132" s="255">
        <f t="shared" si="178"/>
        <v>37.435412874223402</v>
      </c>
      <c r="AN132" s="257">
        <f t="shared" si="161"/>
        <v>3.00000000000001E-2</v>
      </c>
      <c r="AO132" s="258">
        <f t="shared" si="162"/>
        <v>208.87864226989859</v>
      </c>
      <c r="AP132" s="259">
        <f t="shared" si="163"/>
        <v>0.19405229652900016</v>
      </c>
      <c r="AQ132" s="258">
        <f t="shared" si="179"/>
        <v>38.558475260449995</v>
      </c>
      <c r="AR132" s="257">
        <f t="shared" si="164"/>
        <v>3.0000000000000009E-2</v>
      </c>
      <c r="AS132" s="258">
        <f t="shared" si="165"/>
        <v>247.43711753034859</v>
      </c>
      <c r="AT132" s="261">
        <f t="shared" si="166"/>
        <v>0.22987386542487021</v>
      </c>
      <c r="AU132" s="340"/>
    </row>
    <row r="133" spans="1:47" ht="12.75" x14ac:dyDescent="0.2">
      <c r="A133" s="26"/>
      <c r="B133" s="38"/>
      <c r="C133" s="252" t="s">
        <v>383</v>
      </c>
      <c r="D133" s="356">
        <f t="shared" si="167"/>
        <v>93</v>
      </c>
      <c r="E133" s="253">
        <v>450000</v>
      </c>
      <c r="F133" s="23">
        <f t="shared" si="168"/>
        <v>1243.9852181740648</v>
      </c>
      <c r="G133" s="23">
        <f t="shared" si="169"/>
        <v>1281.3047747192868</v>
      </c>
      <c r="H133" s="23">
        <f t="shared" si="169"/>
        <v>1319.7439179608655</v>
      </c>
      <c r="I133" s="23">
        <f t="shared" si="169"/>
        <v>1359.3362354996914</v>
      </c>
      <c r="J133" s="23">
        <f t="shared" si="169"/>
        <v>1400.1163225646822</v>
      </c>
      <c r="K133" s="23">
        <f t="shared" si="169"/>
        <v>1442.1198122416226</v>
      </c>
      <c r="L133" s="23">
        <f t="shared" si="169"/>
        <v>1485.3834066088714</v>
      </c>
      <c r="M133" s="23">
        <f t="shared" si="169"/>
        <v>1529.9449088071376</v>
      </c>
      <c r="N133" s="38"/>
      <c r="O133" s="38"/>
      <c r="P133" s="254">
        <v>450000</v>
      </c>
      <c r="Q133" s="255">
        <f t="shared" si="170"/>
        <v>37.319556545221985</v>
      </c>
      <c r="R133" s="256">
        <f t="shared" si="151"/>
        <v>3.0000000000000034E-2</v>
      </c>
      <c r="S133" s="255">
        <f t="shared" si="171"/>
        <v>38.439143241578677</v>
      </c>
      <c r="T133" s="257">
        <f t="shared" si="152"/>
        <v>3.0000000000000058E-2</v>
      </c>
      <c r="U133" s="258">
        <f t="shared" si="172"/>
        <v>75.758699786800662</v>
      </c>
      <c r="V133" s="259">
        <f t="shared" si="153"/>
        <v>6.0900000000000093E-2</v>
      </c>
      <c r="W133" s="258">
        <f t="shared" si="173"/>
        <v>39.59231753882591</v>
      </c>
      <c r="X133" s="256">
        <f t="shared" si="154"/>
        <v>2.9999999999999957E-2</v>
      </c>
      <c r="Y133" s="260">
        <f t="shared" si="174"/>
        <v>115.35101732562657</v>
      </c>
      <c r="Z133" s="256">
        <f t="shared" si="155"/>
        <v>9.2727000000000045E-2</v>
      </c>
      <c r="AA133" s="255">
        <f t="shared" si="175"/>
        <v>40.780087064990767</v>
      </c>
      <c r="AB133" s="257">
        <f t="shared" si="156"/>
        <v>3.000000000000002E-2</v>
      </c>
      <c r="AC133" s="260">
        <f t="shared" si="176"/>
        <v>156.13110439061734</v>
      </c>
      <c r="AD133" s="261">
        <f t="shared" si="157"/>
        <v>0.12550881000000008</v>
      </c>
      <c r="AE133" s="287">
        <v>450000</v>
      </c>
      <c r="AF133" s="38"/>
      <c r="AG133" s="38"/>
      <c r="AH133" s="287">
        <v>450000</v>
      </c>
      <c r="AI133" s="255">
        <f t="shared" si="177"/>
        <v>42.00348967694049</v>
      </c>
      <c r="AJ133" s="256">
        <f t="shared" si="158"/>
        <v>3.0000000000000016E-2</v>
      </c>
      <c r="AK133" s="260">
        <f t="shared" si="159"/>
        <v>198.13459406755783</v>
      </c>
      <c r="AL133" s="256">
        <f t="shared" si="160"/>
        <v>0.1592740743000001</v>
      </c>
      <c r="AM133" s="255">
        <f t="shared" si="178"/>
        <v>43.263594367248743</v>
      </c>
      <c r="AN133" s="257">
        <f t="shared" si="161"/>
        <v>3.0000000000000044E-2</v>
      </c>
      <c r="AO133" s="258">
        <f t="shared" si="162"/>
        <v>241.39818843480657</v>
      </c>
      <c r="AP133" s="259">
        <f t="shared" si="163"/>
        <v>0.19405229652900016</v>
      </c>
      <c r="AQ133" s="258">
        <f t="shared" si="179"/>
        <v>44.561502198266226</v>
      </c>
      <c r="AR133" s="257">
        <f t="shared" si="164"/>
        <v>3.0000000000000058E-2</v>
      </c>
      <c r="AS133" s="258">
        <f t="shared" si="165"/>
        <v>285.9596906330728</v>
      </c>
      <c r="AT133" s="261">
        <f t="shared" si="166"/>
        <v>0.22987386542487023</v>
      </c>
      <c r="AU133" s="340"/>
    </row>
    <row r="134" spans="1:47" ht="12.75" x14ac:dyDescent="0.2">
      <c r="A134" s="26"/>
      <c r="B134" s="38"/>
      <c r="C134" s="252" t="s">
        <v>384</v>
      </c>
      <c r="D134" s="356">
        <f t="shared" si="167"/>
        <v>94</v>
      </c>
      <c r="E134" s="253">
        <v>550000</v>
      </c>
      <c r="F134" s="23">
        <f t="shared" si="168"/>
        <v>1412.2622257207504</v>
      </c>
      <c r="G134" s="23">
        <f t="shared" si="169"/>
        <v>1454.630092492373</v>
      </c>
      <c r="H134" s="23">
        <f t="shared" si="169"/>
        <v>1498.2689952671442</v>
      </c>
      <c r="I134" s="23">
        <f t="shared" si="169"/>
        <v>1543.2170651251586</v>
      </c>
      <c r="J134" s="23">
        <f t="shared" si="169"/>
        <v>1589.5135770789134</v>
      </c>
      <c r="K134" s="23">
        <f t="shared" si="169"/>
        <v>1637.1989843912809</v>
      </c>
      <c r="L134" s="23">
        <f t="shared" si="169"/>
        <v>1686.3149539230194</v>
      </c>
      <c r="M134" s="23">
        <f t="shared" si="169"/>
        <v>1736.90440254071</v>
      </c>
      <c r="N134" s="38"/>
      <c r="O134" s="38"/>
      <c r="P134" s="254">
        <v>550000</v>
      </c>
      <c r="Q134" s="255">
        <f t="shared" si="170"/>
        <v>42.36786677162263</v>
      </c>
      <c r="R134" s="256">
        <f t="shared" si="151"/>
        <v>3.0000000000000082E-2</v>
      </c>
      <c r="S134" s="255">
        <f t="shared" si="171"/>
        <v>43.638902774771168</v>
      </c>
      <c r="T134" s="257">
        <f t="shared" si="152"/>
        <v>2.9999999999999985E-2</v>
      </c>
      <c r="U134" s="258">
        <f t="shared" si="172"/>
        <v>86.006769546393798</v>
      </c>
      <c r="V134" s="259">
        <f t="shared" si="153"/>
        <v>6.0900000000000072E-2</v>
      </c>
      <c r="W134" s="258">
        <f t="shared" si="173"/>
        <v>44.948069858014378</v>
      </c>
      <c r="X134" s="256">
        <f t="shared" si="154"/>
        <v>3.0000000000000034E-2</v>
      </c>
      <c r="Y134" s="260">
        <f t="shared" si="174"/>
        <v>130.95483940440818</v>
      </c>
      <c r="Z134" s="256">
        <f t="shared" si="155"/>
        <v>9.2727000000000115E-2</v>
      </c>
      <c r="AA134" s="255">
        <f t="shared" si="175"/>
        <v>46.296511953754816</v>
      </c>
      <c r="AB134" s="257">
        <f t="shared" si="156"/>
        <v>3.0000000000000037E-2</v>
      </c>
      <c r="AC134" s="260">
        <f t="shared" si="176"/>
        <v>177.25135135816299</v>
      </c>
      <c r="AD134" s="261">
        <f t="shared" si="157"/>
        <v>0.12550881000000016</v>
      </c>
      <c r="AE134" s="287">
        <v>550000</v>
      </c>
      <c r="AF134" s="38"/>
      <c r="AG134" s="38"/>
      <c r="AH134" s="287">
        <v>550000</v>
      </c>
      <c r="AI134" s="255">
        <f t="shared" si="177"/>
        <v>47.685407312367488</v>
      </c>
      <c r="AJ134" s="256">
        <f t="shared" si="158"/>
        <v>3.0000000000000054E-2</v>
      </c>
      <c r="AK134" s="260">
        <f t="shared" si="159"/>
        <v>224.93675867053048</v>
      </c>
      <c r="AL134" s="256">
        <f t="shared" si="160"/>
        <v>0.15927407430000021</v>
      </c>
      <c r="AM134" s="255">
        <f t="shared" si="178"/>
        <v>49.115969531738529</v>
      </c>
      <c r="AN134" s="257">
        <f t="shared" si="161"/>
        <v>3.0000000000000061E-2</v>
      </c>
      <c r="AO134" s="258">
        <f t="shared" si="162"/>
        <v>274.05272820226901</v>
      </c>
      <c r="AP134" s="259">
        <f t="shared" si="163"/>
        <v>0.1940522965290003</v>
      </c>
      <c r="AQ134" s="258">
        <f t="shared" si="179"/>
        <v>50.58944861769055</v>
      </c>
      <c r="AR134" s="257">
        <f t="shared" si="164"/>
        <v>2.9999999999999982E-2</v>
      </c>
      <c r="AS134" s="258">
        <f t="shared" si="165"/>
        <v>324.64217681995956</v>
      </c>
      <c r="AT134" s="261">
        <f t="shared" si="166"/>
        <v>0.22987386542487029</v>
      </c>
      <c r="AU134" s="340"/>
    </row>
    <row r="135" spans="1:47" ht="12.75" x14ac:dyDescent="0.2">
      <c r="A135" s="26"/>
      <c r="B135" s="38"/>
      <c r="C135" s="252" t="s">
        <v>385</v>
      </c>
      <c r="D135" s="356">
        <f t="shared" si="167"/>
        <v>88</v>
      </c>
      <c r="E135" s="253">
        <v>650000</v>
      </c>
      <c r="F135" s="23">
        <f t="shared" si="168"/>
        <v>1567.5823689048414</v>
      </c>
      <c r="G135" s="23">
        <f t="shared" si="169"/>
        <v>1614.6098399719867</v>
      </c>
      <c r="H135" s="23">
        <f t="shared" si="169"/>
        <v>1663.0481351711464</v>
      </c>
      <c r="I135" s="23">
        <f t="shared" si="169"/>
        <v>1712.9395792262808</v>
      </c>
      <c r="J135" s="23">
        <f t="shared" si="169"/>
        <v>1764.3277666030692</v>
      </c>
      <c r="K135" s="23">
        <f t="shared" si="169"/>
        <v>1817.2575996011612</v>
      </c>
      <c r="L135" s="23">
        <f t="shared" si="169"/>
        <v>1871.7753275891962</v>
      </c>
      <c r="M135" s="23">
        <f t="shared" si="169"/>
        <v>1927.9285874168722</v>
      </c>
      <c r="N135" s="38"/>
      <c r="O135" s="38"/>
      <c r="P135" s="254">
        <v>650000</v>
      </c>
      <c r="Q135" s="255">
        <f t="shared" si="170"/>
        <v>47.02747106714537</v>
      </c>
      <c r="R135" s="256">
        <f t="shared" si="151"/>
        <v>3.0000000000000082E-2</v>
      </c>
      <c r="S135" s="255">
        <f t="shared" si="171"/>
        <v>48.438295199159711</v>
      </c>
      <c r="T135" s="257">
        <f t="shared" si="152"/>
        <v>3.0000000000000068E-2</v>
      </c>
      <c r="U135" s="258">
        <f t="shared" si="172"/>
        <v>95.465766266305081</v>
      </c>
      <c r="V135" s="259">
        <f t="shared" si="153"/>
        <v>6.0900000000000155E-2</v>
      </c>
      <c r="W135" s="258">
        <f t="shared" si="173"/>
        <v>49.891444055134343</v>
      </c>
      <c r="X135" s="256">
        <f t="shared" si="154"/>
        <v>2.9999999999999971E-2</v>
      </c>
      <c r="Y135" s="260">
        <f t="shared" si="174"/>
        <v>145.35721032143942</v>
      </c>
      <c r="Z135" s="256">
        <f t="shared" si="155"/>
        <v>9.2727000000000129E-2</v>
      </c>
      <c r="AA135" s="255">
        <f t="shared" si="175"/>
        <v>51.388187376788437</v>
      </c>
      <c r="AB135" s="257">
        <f t="shared" si="156"/>
        <v>3.0000000000000009E-2</v>
      </c>
      <c r="AC135" s="260">
        <f t="shared" si="176"/>
        <v>196.74539769822786</v>
      </c>
      <c r="AD135" s="261">
        <f t="shared" si="157"/>
        <v>0.12550881000000014</v>
      </c>
      <c r="AE135" s="287">
        <v>650000</v>
      </c>
      <c r="AF135" s="38"/>
      <c r="AG135" s="38"/>
      <c r="AH135" s="287">
        <v>650000</v>
      </c>
      <c r="AI135" s="255">
        <f t="shared" si="177"/>
        <v>52.929832998092024</v>
      </c>
      <c r="AJ135" s="256">
        <f t="shared" si="158"/>
        <v>2.9999999999999971E-2</v>
      </c>
      <c r="AK135" s="260">
        <f t="shared" si="159"/>
        <v>249.67523069631989</v>
      </c>
      <c r="AL135" s="256">
        <f t="shared" si="160"/>
        <v>0.15927407430000012</v>
      </c>
      <c r="AM135" s="255">
        <f t="shared" si="178"/>
        <v>54.517727988034949</v>
      </c>
      <c r="AN135" s="257">
        <f t="shared" si="161"/>
        <v>3.0000000000000061E-2</v>
      </c>
      <c r="AO135" s="258">
        <f t="shared" si="162"/>
        <v>304.19295868435483</v>
      </c>
      <c r="AP135" s="259">
        <f t="shared" si="163"/>
        <v>0.19405229652900019</v>
      </c>
      <c r="AQ135" s="258">
        <f t="shared" si="179"/>
        <v>56.153259827676038</v>
      </c>
      <c r="AR135" s="257">
        <f t="shared" si="164"/>
        <v>3.0000000000000082E-2</v>
      </c>
      <c r="AS135" s="258">
        <f t="shared" si="165"/>
        <v>360.34621851203087</v>
      </c>
      <c r="AT135" s="261">
        <f t="shared" si="166"/>
        <v>0.22987386542487029</v>
      </c>
      <c r="AU135" s="340"/>
    </row>
    <row r="136" spans="1:47" ht="12.75" x14ac:dyDescent="0.2">
      <c r="A136" s="26"/>
      <c r="B136" s="38"/>
      <c r="C136" s="252" t="s">
        <v>386</v>
      </c>
      <c r="D136" s="356">
        <f t="shared" si="167"/>
        <v>117</v>
      </c>
      <c r="E136" s="253">
        <v>750000</v>
      </c>
      <c r="F136" s="23">
        <f t="shared" si="168"/>
        <v>1677.4417963906874</v>
      </c>
      <c r="G136" s="23">
        <f t="shared" si="169"/>
        <v>1727.7650502824081</v>
      </c>
      <c r="H136" s="23">
        <f t="shared" si="169"/>
        <v>1779.5980017908803</v>
      </c>
      <c r="I136" s="23">
        <f t="shared" si="169"/>
        <v>1832.9859418446067</v>
      </c>
      <c r="J136" s="23">
        <f t="shared" si="169"/>
        <v>1887.975520099945</v>
      </c>
      <c r="K136" s="23">
        <f t="shared" si="169"/>
        <v>1944.6147857029434</v>
      </c>
      <c r="L136" s="23">
        <f t="shared" si="169"/>
        <v>2002.9532292740319</v>
      </c>
      <c r="M136" s="23">
        <f t="shared" si="169"/>
        <v>2063.0418261522527</v>
      </c>
      <c r="N136" s="38"/>
      <c r="O136" s="38"/>
      <c r="P136" s="254">
        <v>750000</v>
      </c>
      <c r="Q136" s="255">
        <f t="shared" si="170"/>
        <v>50.323253891720697</v>
      </c>
      <c r="R136" s="256">
        <f t="shared" si="151"/>
        <v>3.0000000000000044E-2</v>
      </c>
      <c r="S136" s="255">
        <f t="shared" si="171"/>
        <v>51.832951508472206</v>
      </c>
      <c r="T136" s="257">
        <f t="shared" si="152"/>
        <v>2.9999999999999978E-2</v>
      </c>
      <c r="U136" s="258">
        <f t="shared" si="172"/>
        <v>102.1562054001929</v>
      </c>
      <c r="V136" s="259">
        <f t="shared" si="153"/>
        <v>6.0900000000000024E-2</v>
      </c>
      <c r="W136" s="258">
        <f t="shared" si="173"/>
        <v>53.387940053726425</v>
      </c>
      <c r="X136" s="256">
        <f t="shared" si="154"/>
        <v>3.0000000000000009E-2</v>
      </c>
      <c r="Y136" s="260">
        <f t="shared" si="174"/>
        <v>155.54414545391933</v>
      </c>
      <c r="Z136" s="256">
        <f t="shared" si="155"/>
        <v>9.2727000000000032E-2</v>
      </c>
      <c r="AA136" s="255">
        <f t="shared" si="175"/>
        <v>54.989578255338301</v>
      </c>
      <c r="AB136" s="257">
        <f t="shared" si="156"/>
        <v>3.0000000000000054E-2</v>
      </c>
      <c r="AC136" s="260">
        <f t="shared" si="176"/>
        <v>210.53372370925763</v>
      </c>
      <c r="AD136" s="261">
        <f t="shared" si="157"/>
        <v>0.12550881000000008</v>
      </c>
      <c r="AE136" s="287">
        <v>750000</v>
      </c>
      <c r="AF136" s="38"/>
      <c r="AG136" s="38"/>
      <c r="AH136" s="287">
        <v>750000</v>
      </c>
      <c r="AI136" s="255">
        <f t="shared" si="177"/>
        <v>56.639265602998421</v>
      </c>
      <c r="AJ136" s="256">
        <f t="shared" si="158"/>
        <v>3.0000000000000037E-2</v>
      </c>
      <c r="AK136" s="260">
        <f t="shared" si="159"/>
        <v>267.17298931225605</v>
      </c>
      <c r="AL136" s="256">
        <f t="shared" si="160"/>
        <v>0.15927407430000015</v>
      </c>
      <c r="AM136" s="255">
        <f t="shared" si="178"/>
        <v>58.338443571088419</v>
      </c>
      <c r="AN136" s="257">
        <f t="shared" si="161"/>
        <v>3.0000000000000061E-2</v>
      </c>
      <c r="AO136" s="258">
        <f t="shared" si="162"/>
        <v>325.51143288334447</v>
      </c>
      <c r="AP136" s="259">
        <f t="shared" si="163"/>
        <v>0.19405229652900022</v>
      </c>
      <c r="AQ136" s="258">
        <f t="shared" si="179"/>
        <v>60.088596878220869</v>
      </c>
      <c r="AR136" s="257">
        <f t="shared" si="164"/>
        <v>2.9999999999999957E-2</v>
      </c>
      <c r="AS136" s="258">
        <f t="shared" si="165"/>
        <v>385.60002976156534</v>
      </c>
      <c r="AT136" s="261">
        <f t="shared" si="166"/>
        <v>0.22987386542487018</v>
      </c>
      <c r="AU136" s="340"/>
    </row>
    <row r="137" spans="1:47" ht="12.75" x14ac:dyDescent="0.2">
      <c r="A137" s="26"/>
      <c r="B137" s="38"/>
      <c r="C137" s="252" t="s">
        <v>387</v>
      </c>
      <c r="D137" s="356">
        <f t="shared" si="167"/>
        <v>84</v>
      </c>
      <c r="E137" s="253">
        <v>850000</v>
      </c>
      <c r="F137" s="23">
        <f t="shared" si="168"/>
        <v>1898.1203881169129</v>
      </c>
      <c r="G137" s="23">
        <f t="shared" si="169"/>
        <v>1955.0639997604203</v>
      </c>
      <c r="H137" s="23">
        <f t="shared" si="169"/>
        <v>2013.715919753233</v>
      </c>
      <c r="I137" s="23">
        <f t="shared" si="169"/>
        <v>2074.1273973458301</v>
      </c>
      <c r="J137" s="23">
        <f t="shared" si="169"/>
        <v>2136.3512192662051</v>
      </c>
      <c r="K137" s="23">
        <f t="shared" si="169"/>
        <v>2200.4417558441914</v>
      </c>
      <c r="L137" s="23">
        <f t="shared" si="169"/>
        <v>2266.4550085195174</v>
      </c>
      <c r="M137" s="23">
        <f t="shared" si="169"/>
        <v>2334.448658775103</v>
      </c>
      <c r="N137" s="38"/>
      <c r="O137" s="38"/>
      <c r="P137" s="254">
        <v>850000</v>
      </c>
      <c r="Q137" s="255">
        <f t="shared" si="170"/>
        <v>56.943611643507438</v>
      </c>
      <c r="R137" s="256">
        <f t="shared" si="151"/>
        <v>3.0000000000000027E-2</v>
      </c>
      <c r="S137" s="255">
        <f t="shared" si="171"/>
        <v>58.651919992812736</v>
      </c>
      <c r="T137" s="257">
        <f t="shared" si="152"/>
        <v>3.0000000000000065E-2</v>
      </c>
      <c r="U137" s="258">
        <f t="shared" si="172"/>
        <v>115.59553163632017</v>
      </c>
      <c r="V137" s="259">
        <f t="shared" si="153"/>
        <v>6.0900000000000093E-2</v>
      </c>
      <c r="W137" s="258">
        <f t="shared" si="173"/>
        <v>60.411477592597066</v>
      </c>
      <c r="X137" s="256">
        <f t="shared" si="154"/>
        <v>3.0000000000000037E-2</v>
      </c>
      <c r="Y137" s="260">
        <f t="shared" si="174"/>
        <v>176.00700922891724</v>
      </c>
      <c r="Z137" s="256">
        <f t="shared" si="155"/>
        <v>9.2727000000000143E-2</v>
      </c>
      <c r="AA137" s="255">
        <f t="shared" si="175"/>
        <v>62.22382192037503</v>
      </c>
      <c r="AB137" s="257">
        <f t="shared" si="156"/>
        <v>3.0000000000000061E-2</v>
      </c>
      <c r="AC137" s="260">
        <f t="shared" si="176"/>
        <v>238.23083114929227</v>
      </c>
      <c r="AD137" s="261">
        <f t="shared" si="157"/>
        <v>0.12550881000000022</v>
      </c>
      <c r="AE137" s="287">
        <v>850000</v>
      </c>
      <c r="AF137" s="38"/>
      <c r="AG137" s="38"/>
      <c r="AH137" s="287">
        <v>850000</v>
      </c>
      <c r="AI137" s="255">
        <f t="shared" si="177"/>
        <v>64.090536577986313</v>
      </c>
      <c r="AJ137" s="256">
        <f t="shared" si="158"/>
        <v>3.0000000000000075E-2</v>
      </c>
      <c r="AK137" s="260">
        <f t="shared" si="159"/>
        <v>302.32136772727858</v>
      </c>
      <c r="AL137" s="256">
        <f t="shared" si="160"/>
        <v>0.15927407430000029</v>
      </c>
      <c r="AM137" s="255">
        <f t="shared" si="178"/>
        <v>66.01325267532593</v>
      </c>
      <c r="AN137" s="257">
        <f t="shared" si="161"/>
        <v>3.0000000000000086E-2</v>
      </c>
      <c r="AO137" s="258">
        <f t="shared" si="162"/>
        <v>368.33462040260451</v>
      </c>
      <c r="AP137" s="259">
        <f t="shared" si="163"/>
        <v>0.19405229652900041</v>
      </c>
      <c r="AQ137" s="258">
        <f t="shared" si="179"/>
        <v>67.993650255585635</v>
      </c>
      <c r="AR137" s="257">
        <f t="shared" si="164"/>
        <v>3.0000000000000051E-2</v>
      </c>
      <c r="AS137" s="258">
        <f t="shared" si="165"/>
        <v>436.32827065819015</v>
      </c>
      <c r="AT137" s="261">
        <f t="shared" si="166"/>
        <v>0.22987386542487048</v>
      </c>
      <c r="AU137" s="340"/>
    </row>
    <row r="138" spans="1:47" ht="12.75" x14ac:dyDescent="0.2">
      <c r="A138" s="26"/>
      <c r="B138" s="38"/>
      <c r="C138" s="252" t="s">
        <v>388</v>
      </c>
      <c r="D138" s="356">
        <f t="shared" si="167"/>
        <v>65</v>
      </c>
      <c r="E138" s="253">
        <v>950000</v>
      </c>
      <c r="F138" s="23">
        <f t="shared" si="168"/>
        <v>2031.9124721839571</v>
      </c>
      <c r="G138" s="23">
        <f t="shared" si="169"/>
        <v>2092.8698463494757</v>
      </c>
      <c r="H138" s="23">
        <f t="shared" si="169"/>
        <v>2155.6559417399599</v>
      </c>
      <c r="I138" s="23">
        <f t="shared" si="169"/>
        <v>2220.3256199921589</v>
      </c>
      <c r="J138" s="23">
        <f t="shared" si="169"/>
        <v>2286.9353885919236</v>
      </c>
      <c r="K138" s="23">
        <f t="shared" si="169"/>
        <v>2355.5434502496814</v>
      </c>
      <c r="L138" s="23">
        <f t="shared" si="169"/>
        <v>2426.2097537571717</v>
      </c>
      <c r="M138" s="23">
        <f t="shared" si="169"/>
        <v>2498.9960463698872</v>
      </c>
      <c r="N138" s="38"/>
      <c r="O138" s="38"/>
      <c r="P138" s="254">
        <v>950000</v>
      </c>
      <c r="Q138" s="255">
        <f t="shared" si="170"/>
        <v>60.957374165518559</v>
      </c>
      <c r="R138" s="256">
        <f t="shared" si="151"/>
        <v>2.9999999999999923E-2</v>
      </c>
      <c r="S138" s="255">
        <f t="shared" si="171"/>
        <v>62.786095390484206</v>
      </c>
      <c r="T138" s="257">
        <f t="shared" si="152"/>
        <v>2.9999999999999971E-2</v>
      </c>
      <c r="U138" s="258">
        <f t="shared" si="172"/>
        <v>123.74346955600276</v>
      </c>
      <c r="V138" s="259">
        <f t="shared" si="153"/>
        <v>6.0899999999999892E-2</v>
      </c>
      <c r="W138" s="258">
        <f t="shared" si="173"/>
        <v>64.669678252198992</v>
      </c>
      <c r="X138" s="256">
        <f t="shared" si="154"/>
        <v>3.0000000000000089E-2</v>
      </c>
      <c r="Y138" s="260">
        <f t="shared" si="174"/>
        <v>188.41314780820176</v>
      </c>
      <c r="Z138" s="256">
        <f t="shared" si="155"/>
        <v>9.272699999999999E-2</v>
      </c>
      <c r="AA138" s="255">
        <f t="shared" si="175"/>
        <v>66.60976859976472</v>
      </c>
      <c r="AB138" s="257">
        <f t="shared" si="156"/>
        <v>2.9999999999999978E-2</v>
      </c>
      <c r="AC138" s="260">
        <f t="shared" si="176"/>
        <v>255.02291640796648</v>
      </c>
      <c r="AD138" s="261">
        <f t="shared" si="157"/>
        <v>0.12550880999999997</v>
      </c>
      <c r="AE138" s="287">
        <v>950000</v>
      </c>
      <c r="AF138" s="38"/>
      <c r="AG138" s="38"/>
      <c r="AH138" s="287">
        <v>950000</v>
      </c>
      <c r="AI138" s="255">
        <f t="shared" si="177"/>
        <v>68.608061657757844</v>
      </c>
      <c r="AJ138" s="256">
        <f t="shared" si="158"/>
        <v>3.0000000000000061E-2</v>
      </c>
      <c r="AK138" s="260">
        <f t="shared" si="159"/>
        <v>323.63097806572432</v>
      </c>
      <c r="AL138" s="256">
        <f t="shared" si="160"/>
        <v>0.15927407430000001</v>
      </c>
      <c r="AM138" s="255">
        <f t="shared" si="178"/>
        <v>70.666303507490284</v>
      </c>
      <c r="AN138" s="257">
        <f t="shared" si="161"/>
        <v>2.9999999999999933E-2</v>
      </c>
      <c r="AO138" s="258">
        <f t="shared" si="162"/>
        <v>394.2972815732146</v>
      </c>
      <c r="AP138" s="259">
        <f t="shared" si="163"/>
        <v>0.19405229652899994</v>
      </c>
      <c r="AQ138" s="258">
        <f t="shared" si="179"/>
        <v>72.786292612715442</v>
      </c>
      <c r="AR138" s="257">
        <f t="shared" si="164"/>
        <v>3.000000000000012E-2</v>
      </c>
      <c r="AS138" s="258">
        <f t="shared" si="165"/>
        <v>467.08357418593005</v>
      </c>
      <c r="AT138" s="261">
        <f t="shared" si="166"/>
        <v>0.22987386542487009</v>
      </c>
      <c r="AU138" s="340"/>
    </row>
    <row r="139" spans="1:47" ht="12.75" x14ac:dyDescent="0.2">
      <c r="A139" s="26"/>
      <c r="B139" s="38"/>
      <c r="C139" s="252" t="s">
        <v>390</v>
      </c>
      <c r="D139" s="356">
        <f t="shared" si="167"/>
        <v>236</v>
      </c>
      <c r="E139" s="253">
        <v>1250000</v>
      </c>
      <c r="F139" s="23">
        <f t="shared" si="168"/>
        <v>2450.2384849804093</v>
      </c>
      <c r="G139" s="23">
        <f t="shared" si="169"/>
        <v>2523.7456395298218</v>
      </c>
      <c r="H139" s="23">
        <f t="shared" si="169"/>
        <v>2599.4580087157165</v>
      </c>
      <c r="I139" s="23">
        <f t="shared" si="169"/>
        <v>2677.4417489771881</v>
      </c>
      <c r="J139" s="23">
        <f t="shared" si="169"/>
        <v>2757.7650014465039</v>
      </c>
      <c r="K139" s="23">
        <f t="shared" si="169"/>
        <v>2840.4979514898992</v>
      </c>
      <c r="L139" s="23">
        <f t="shared" si="169"/>
        <v>2925.7128900345961</v>
      </c>
      <c r="M139" s="23">
        <f t="shared" si="169"/>
        <v>3013.484276735634</v>
      </c>
      <c r="N139" s="38"/>
      <c r="O139" s="38"/>
      <c r="P139" s="254">
        <v>1250000</v>
      </c>
      <c r="Q139" s="255">
        <f t="shared" si="170"/>
        <v>73.507154549412462</v>
      </c>
      <c r="R139" s="256">
        <f t="shared" si="151"/>
        <v>3.0000000000000075E-2</v>
      </c>
      <c r="S139" s="255">
        <f t="shared" si="171"/>
        <v>75.712369185894659</v>
      </c>
      <c r="T139" s="257">
        <f t="shared" si="152"/>
        <v>3.0000000000000002E-2</v>
      </c>
      <c r="U139" s="258">
        <f t="shared" si="172"/>
        <v>149.21952373530712</v>
      </c>
      <c r="V139" s="259">
        <f t="shared" si="153"/>
        <v>6.0900000000000079E-2</v>
      </c>
      <c r="W139" s="258">
        <f t="shared" si="173"/>
        <v>77.983740261471667</v>
      </c>
      <c r="X139" s="256">
        <f t="shared" si="154"/>
        <v>3.0000000000000065E-2</v>
      </c>
      <c r="Y139" s="260">
        <f t="shared" si="174"/>
        <v>227.20326399677879</v>
      </c>
      <c r="Z139" s="256">
        <f t="shared" si="155"/>
        <v>9.2727000000000157E-2</v>
      </c>
      <c r="AA139" s="255">
        <f t="shared" si="175"/>
        <v>80.323252469315776</v>
      </c>
      <c r="AB139" s="257">
        <f t="shared" si="156"/>
        <v>3.0000000000000051E-2</v>
      </c>
      <c r="AC139" s="260">
        <f t="shared" si="176"/>
        <v>307.52651646609456</v>
      </c>
      <c r="AD139" s="261">
        <f t="shared" si="157"/>
        <v>0.12550881000000022</v>
      </c>
      <c r="AE139" s="287">
        <v>1250000</v>
      </c>
      <c r="AF139" s="38"/>
      <c r="AG139" s="38"/>
      <c r="AH139" s="287">
        <v>1250000</v>
      </c>
      <c r="AI139" s="255">
        <f t="shared" si="177"/>
        <v>82.732950043395249</v>
      </c>
      <c r="AJ139" s="256">
        <f t="shared" si="158"/>
        <v>3.0000000000000047E-2</v>
      </c>
      <c r="AK139" s="260">
        <f t="shared" si="159"/>
        <v>390.25946650948981</v>
      </c>
      <c r="AL139" s="256">
        <f t="shared" si="160"/>
        <v>0.15927407430000026</v>
      </c>
      <c r="AM139" s="255">
        <f t="shared" si="178"/>
        <v>85.214938544696906</v>
      </c>
      <c r="AN139" s="257">
        <f t="shared" si="161"/>
        <v>2.9999999999999975E-2</v>
      </c>
      <c r="AO139" s="258">
        <f t="shared" si="162"/>
        <v>475.47440505418672</v>
      </c>
      <c r="AP139" s="259">
        <f t="shared" si="163"/>
        <v>0.19405229652900025</v>
      </c>
      <c r="AQ139" s="258">
        <f t="shared" si="179"/>
        <v>87.771386701037954</v>
      </c>
      <c r="AR139" s="257">
        <f t="shared" si="164"/>
        <v>3.0000000000000023E-2</v>
      </c>
      <c r="AS139" s="258">
        <f t="shared" si="165"/>
        <v>563.24579175522467</v>
      </c>
      <c r="AT139" s="261">
        <f t="shared" si="166"/>
        <v>0.22987386542487029</v>
      </c>
      <c r="AU139" s="340"/>
    </row>
    <row r="140" spans="1:47" ht="12.75" x14ac:dyDescent="0.2">
      <c r="A140" s="26"/>
      <c r="B140" s="38"/>
      <c r="C140" s="252" t="s">
        <v>391</v>
      </c>
      <c r="D140" s="356">
        <f t="shared" si="167"/>
        <v>54</v>
      </c>
      <c r="E140" s="253">
        <v>1750000</v>
      </c>
      <c r="F140" s="23">
        <f t="shared" si="168"/>
        <v>3272.8652874839436</v>
      </c>
      <c r="G140" s="23">
        <f t="shared" si="169"/>
        <v>3371.0512461084618</v>
      </c>
      <c r="H140" s="23">
        <f t="shared" si="169"/>
        <v>3472.1827834917158</v>
      </c>
      <c r="I140" s="23">
        <f t="shared" si="169"/>
        <v>3576.3482669964674</v>
      </c>
      <c r="J140" s="23">
        <f t="shared" si="169"/>
        <v>3683.6387150063615</v>
      </c>
      <c r="K140" s="23">
        <f t="shared" si="169"/>
        <v>3794.1478764565522</v>
      </c>
      <c r="L140" s="23">
        <f t="shared" si="169"/>
        <v>3907.9723127502489</v>
      </c>
      <c r="M140" s="23">
        <f t="shared" si="169"/>
        <v>4025.2114821327564</v>
      </c>
      <c r="N140" s="38"/>
      <c r="O140" s="38"/>
      <c r="P140" s="254">
        <v>1750000</v>
      </c>
      <c r="Q140" s="255">
        <f t="shared" si="170"/>
        <v>98.185958624518207</v>
      </c>
      <c r="R140" s="256">
        <f t="shared" si="151"/>
        <v>2.9999999999999971E-2</v>
      </c>
      <c r="S140" s="255">
        <f t="shared" si="171"/>
        <v>101.131537383254</v>
      </c>
      <c r="T140" s="257">
        <f t="shared" si="152"/>
        <v>3.0000000000000044E-2</v>
      </c>
      <c r="U140" s="258">
        <f t="shared" si="172"/>
        <v>199.31749600777221</v>
      </c>
      <c r="V140" s="259">
        <f t="shared" si="153"/>
        <v>6.090000000000001E-2</v>
      </c>
      <c r="W140" s="258">
        <f t="shared" si="173"/>
        <v>104.16548350475159</v>
      </c>
      <c r="X140" s="256">
        <f t="shared" si="154"/>
        <v>3.0000000000000034E-2</v>
      </c>
      <c r="Y140" s="260">
        <f t="shared" si="174"/>
        <v>303.4829795125238</v>
      </c>
      <c r="Z140" s="256">
        <f t="shared" si="155"/>
        <v>9.2727000000000045E-2</v>
      </c>
      <c r="AA140" s="255">
        <f t="shared" si="175"/>
        <v>107.29044800989413</v>
      </c>
      <c r="AB140" s="257">
        <f t="shared" si="156"/>
        <v>3.000000000000003E-2</v>
      </c>
      <c r="AC140" s="260">
        <f t="shared" si="176"/>
        <v>410.77342752241793</v>
      </c>
      <c r="AD140" s="261">
        <f t="shared" si="157"/>
        <v>0.12550881000000008</v>
      </c>
      <c r="AE140" s="287">
        <v>1750000</v>
      </c>
      <c r="AF140" s="38"/>
      <c r="AG140" s="38"/>
      <c r="AH140" s="287">
        <v>1750000</v>
      </c>
      <c r="AI140" s="255">
        <f t="shared" si="177"/>
        <v>110.50916145019073</v>
      </c>
      <c r="AJ140" s="256">
        <f t="shared" si="158"/>
        <v>2.9999999999999968E-2</v>
      </c>
      <c r="AK140" s="260">
        <f t="shared" si="159"/>
        <v>521.28258897260866</v>
      </c>
      <c r="AL140" s="256">
        <f t="shared" si="160"/>
        <v>0.15927407430000004</v>
      </c>
      <c r="AM140" s="255">
        <f t="shared" si="178"/>
        <v>113.82443629369664</v>
      </c>
      <c r="AN140" s="257">
        <f t="shared" si="161"/>
        <v>3.000000000000002E-2</v>
      </c>
      <c r="AO140" s="258">
        <f t="shared" si="162"/>
        <v>635.1070252663053</v>
      </c>
      <c r="AP140" s="259">
        <f t="shared" si="163"/>
        <v>0.19405229652900008</v>
      </c>
      <c r="AQ140" s="258">
        <f t="shared" si="179"/>
        <v>117.2391693825075</v>
      </c>
      <c r="AR140" s="257">
        <f t="shared" si="164"/>
        <v>3.0000000000000009E-2</v>
      </c>
      <c r="AS140" s="258">
        <f t="shared" si="165"/>
        <v>752.3461946488128</v>
      </c>
      <c r="AT140" s="261">
        <f t="shared" si="166"/>
        <v>0.22987386542487009</v>
      </c>
      <c r="AU140" s="340"/>
    </row>
    <row r="141" spans="1:47" ht="12.75" x14ac:dyDescent="0.2">
      <c r="A141" s="26"/>
      <c r="B141" s="38"/>
      <c r="C141" s="252" t="s">
        <v>392</v>
      </c>
      <c r="D141" s="356">
        <f t="shared" si="167"/>
        <v>19</v>
      </c>
      <c r="E141" s="253">
        <v>2500000</v>
      </c>
      <c r="F141" s="23">
        <f t="shared" si="168"/>
        <v>4268.6269063180835</v>
      </c>
      <c r="G141" s="23">
        <f t="shared" si="169"/>
        <v>4396.6857135076261</v>
      </c>
      <c r="H141" s="23">
        <f t="shared" si="169"/>
        <v>4528.5862849128553</v>
      </c>
      <c r="I141" s="23">
        <f t="shared" si="169"/>
        <v>4664.4438734602409</v>
      </c>
      <c r="J141" s="23">
        <f t="shared" si="169"/>
        <v>4804.3771896640483</v>
      </c>
      <c r="K141" s="23">
        <f t="shared" si="169"/>
        <v>4948.5085053539697</v>
      </c>
      <c r="L141" s="23">
        <f t="shared" si="169"/>
        <v>5096.963760514589</v>
      </c>
      <c r="M141" s="23">
        <f t="shared" si="169"/>
        <v>5249.8726733300264</v>
      </c>
      <c r="N141" s="38"/>
      <c r="O141" s="38"/>
      <c r="P141" s="254">
        <v>2500000</v>
      </c>
      <c r="Q141" s="255">
        <f t="shared" si="170"/>
        <v>128.05880718954268</v>
      </c>
      <c r="R141" s="256">
        <f t="shared" si="151"/>
        <v>3.0000000000000041E-2</v>
      </c>
      <c r="S141" s="255">
        <f t="shared" si="171"/>
        <v>131.90057140522913</v>
      </c>
      <c r="T141" s="257">
        <f t="shared" si="152"/>
        <v>3.0000000000000079E-2</v>
      </c>
      <c r="U141" s="258">
        <f t="shared" si="172"/>
        <v>259.95937859477181</v>
      </c>
      <c r="V141" s="259">
        <f t="shared" si="153"/>
        <v>6.0900000000000121E-2</v>
      </c>
      <c r="W141" s="258">
        <f t="shared" si="173"/>
        <v>135.8575885473856</v>
      </c>
      <c r="X141" s="256">
        <f t="shared" si="154"/>
        <v>2.9999999999999988E-2</v>
      </c>
      <c r="Y141" s="260">
        <f t="shared" si="174"/>
        <v>395.81696714215741</v>
      </c>
      <c r="Z141" s="256">
        <f t="shared" si="155"/>
        <v>9.2727000000000115E-2</v>
      </c>
      <c r="AA141" s="255">
        <f t="shared" si="175"/>
        <v>139.93331620380741</v>
      </c>
      <c r="AB141" s="257">
        <f t="shared" si="156"/>
        <v>3.0000000000000041E-2</v>
      </c>
      <c r="AC141" s="260">
        <f t="shared" si="176"/>
        <v>535.75028334596482</v>
      </c>
      <c r="AD141" s="261">
        <f t="shared" si="157"/>
        <v>0.12550881000000016</v>
      </c>
      <c r="AE141" s="287">
        <v>2500000</v>
      </c>
      <c r="AF141" s="38"/>
      <c r="AG141" s="38"/>
      <c r="AH141" s="287">
        <v>2500000</v>
      </c>
      <c r="AI141" s="255">
        <f t="shared" si="177"/>
        <v>144.13131568992139</v>
      </c>
      <c r="AJ141" s="256">
        <f t="shared" si="158"/>
        <v>2.9999999999999988E-2</v>
      </c>
      <c r="AK141" s="260">
        <f t="shared" si="159"/>
        <v>679.88159903588621</v>
      </c>
      <c r="AL141" s="256">
        <f t="shared" si="160"/>
        <v>0.15927407430000015</v>
      </c>
      <c r="AM141" s="255">
        <f t="shared" si="178"/>
        <v>148.45525516061934</v>
      </c>
      <c r="AN141" s="257">
        <f t="shared" si="161"/>
        <v>3.0000000000000051E-2</v>
      </c>
      <c r="AO141" s="258">
        <f t="shared" si="162"/>
        <v>828.33685419650556</v>
      </c>
      <c r="AP141" s="259">
        <f t="shared" si="163"/>
        <v>0.19405229652900022</v>
      </c>
      <c r="AQ141" s="258">
        <f t="shared" si="179"/>
        <v>152.90891281543736</v>
      </c>
      <c r="AR141" s="257">
        <f t="shared" si="164"/>
        <v>2.999999999999994E-2</v>
      </c>
      <c r="AS141" s="258">
        <f t="shared" si="165"/>
        <v>981.24576701194292</v>
      </c>
      <c r="AT141" s="261">
        <f t="shared" si="166"/>
        <v>0.22987386542487015</v>
      </c>
      <c r="AU141" s="340"/>
    </row>
    <row r="142" spans="1:47" ht="13.5" thickBot="1" x14ac:dyDescent="0.25">
      <c r="A142" s="26"/>
      <c r="B142" s="38"/>
      <c r="C142" s="216" t="s">
        <v>15</v>
      </c>
      <c r="D142" s="357">
        <f t="shared" si="167"/>
        <v>9</v>
      </c>
      <c r="E142" s="264">
        <v>3000000</v>
      </c>
      <c r="F142" s="23">
        <f t="shared" si="168"/>
        <v>4732.8314263920674</v>
      </c>
      <c r="G142" s="23">
        <f t="shared" si="169"/>
        <v>4874.8163691838299</v>
      </c>
      <c r="H142" s="23">
        <f t="shared" si="169"/>
        <v>5021.0608602593447</v>
      </c>
      <c r="I142" s="23">
        <f t="shared" si="169"/>
        <v>5171.6926860671256</v>
      </c>
      <c r="J142" s="23">
        <f t="shared" si="169"/>
        <v>5326.8434666491394</v>
      </c>
      <c r="K142" s="23">
        <f t="shared" si="169"/>
        <v>5486.6487706486141</v>
      </c>
      <c r="L142" s="23">
        <f t="shared" si="169"/>
        <v>5651.2482337680731</v>
      </c>
      <c r="M142" s="23">
        <f t="shared" si="169"/>
        <v>5820.7856807811158</v>
      </c>
      <c r="N142" s="38"/>
      <c r="O142" s="38"/>
      <c r="P142" s="265">
        <v>3000000</v>
      </c>
      <c r="Q142" s="347">
        <f t="shared" si="170"/>
        <v>141.98494279176248</v>
      </c>
      <c r="R142" s="342">
        <f t="shared" si="151"/>
        <v>3.0000000000000096E-2</v>
      </c>
      <c r="S142" s="347">
        <f t="shared" si="171"/>
        <v>146.24449107551482</v>
      </c>
      <c r="T142" s="349">
        <f t="shared" si="152"/>
        <v>2.9999999999999982E-2</v>
      </c>
      <c r="U142" s="341">
        <f t="shared" si="172"/>
        <v>288.22943386727729</v>
      </c>
      <c r="V142" s="348">
        <f t="shared" si="153"/>
        <v>6.0900000000000079E-2</v>
      </c>
      <c r="W142" s="341">
        <f t="shared" si="173"/>
        <v>150.63182580778084</v>
      </c>
      <c r="X142" s="342">
        <f t="shared" si="154"/>
        <v>3.00000000000001E-2</v>
      </c>
      <c r="Y142" s="343">
        <f t="shared" si="174"/>
        <v>438.86125967505814</v>
      </c>
      <c r="Z142" s="342">
        <f t="shared" si="155"/>
        <v>9.2727000000000184E-2</v>
      </c>
      <c r="AA142" s="347">
        <f t="shared" si="175"/>
        <v>155.15078058201379</v>
      </c>
      <c r="AB142" s="349">
        <f t="shared" si="156"/>
        <v>3.0000000000000006E-2</v>
      </c>
      <c r="AC142" s="343">
        <f t="shared" si="176"/>
        <v>594.01204025707193</v>
      </c>
      <c r="AD142" s="344">
        <f t="shared" si="157"/>
        <v>0.12550881000000019</v>
      </c>
      <c r="AE142" s="288">
        <v>3000000</v>
      </c>
      <c r="AF142" s="350"/>
      <c r="AG142" s="38"/>
      <c r="AH142" s="289">
        <v>3000000</v>
      </c>
      <c r="AI142" s="266">
        <f t="shared" si="177"/>
        <v>159.80530399947475</v>
      </c>
      <c r="AJ142" s="267">
        <f t="shared" si="158"/>
        <v>3.0000000000000106E-2</v>
      </c>
      <c r="AK142" s="271">
        <f t="shared" si="159"/>
        <v>753.81734425654668</v>
      </c>
      <c r="AL142" s="267">
        <f t="shared" si="160"/>
        <v>0.15927407430000032</v>
      </c>
      <c r="AM142" s="266">
        <f t="shared" si="178"/>
        <v>164.59946311945896</v>
      </c>
      <c r="AN142" s="268">
        <f t="shared" si="161"/>
        <v>3.00000000000001E-2</v>
      </c>
      <c r="AO142" s="269">
        <f t="shared" si="162"/>
        <v>918.41680737600564</v>
      </c>
      <c r="AP142" s="270">
        <f t="shared" si="163"/>
        <v>0.19405229652900044</v>
      </c>
      <c r="AQ142" s="269">
        <f t="shared" si="179"/>
        <v>169.53744701304277</v>
      </c>
      <c r="AR142" s="268">
        <f t="shared" si="164"/>
        <v>3.0000000000000103E-2</v>
      </c>
      <c r="AS142" s="269">
        <f t="shared" si="165"/>
        <v>1087.9542543890484</v>
      </c>
      <c r="AT142" s="274">
        <f t="shared" si="166"/>
        <v>0.22987386542487059</v>
      </c>
      <c r="AU142" s="340"/>
    </row>
    <row r="143" spans="1:47" ht="13.5" thickTop="1" x14ac:dyDescent="0.2">
      <c r="A143" s="26"/>
      <c r="B143" s="38"/>
      <c r="C143" s="338"/>
      <c r="D143" s="353"/>
      <c r="E143" s="276"/>
      <c r="F143" s="338"/>
      <c r="G143" s="338"/>
      <c r="H143" s="338"/>
      <c r="I143" s="338"/>
      <c r="J143" s="338"/>
      <c r="K143" s="338"/>
      <c r="L143" s="338"/>
      <c r="M143" s="338"/>
      <c r="N143" s="38"/>
      <c r="O143" s="38"/>
      <c r="P143" s="276"/>
      <c r="Q143" s="345"/>
      <c r="R143" s="346"/>
      <c r="S143" s="345"/>
      <c r="T143" s="346"/>
      <c r="U143" s="345"/>
      <c r="V143" s="346"/>
      <c r="W143" s="345"/>
      <c r="X143" s="346"/>
      <c r="Y143" s="345"/>
      <c r="Z143" s="346"/>
      <c r="AA143" s="345"/>
      <c r="AB143" s="346"/>
      <c r="AC143" s="345"/>
      <c r="AD143" s="346"/>
      <c r="AE143" s="276"/>
      <c r="AF143" s="38"/>
      <c r="AG143" s="38"/>
      <c r="AH143" s="276"/>
      <c r="AI143" s="339"/>
      <c r="AJ143" s="340"/>
      <c r="AK143" s="339"/>
      <c r="AL143" s="340"/>
      <c r="AM143" s="339"/>
      <c r="AN143" s="340"/>
      <c r="AO143" s="339"/>
      <c r="AP143" s="340"/>
      <c r="AQ143" s="339"/>
      <c r="AR143" s="340"/>
      <c r="AS143" s="339"/>
      <c r="AT143" s="340"/>
      <c r="AU143" s="340"/>
    </row>
    <row r="144" spans="1:47" x14ac:dyDescent="0.2">
      <c r="E144"/>
    </row>
    <row r="145" spans="5:5" x14ac:dyDescent="0.2">
      <c r="E145"/>
    </row>
    <row r="146" spans="5:5" x14ac:dyDescent="0.2">
      <c r="E146"/>
    </row>
    <row r="147" spans="5:5" x14ac:dyDescent="0.2">
      <c r="E147"/>
    </row>
    <row r="148" spans="5:5" x14ac:dyDescent="0.2">
      <c r="E148"/>
    </row>
    <row r="149" spans="5:5" x14ac:dyDescent="0.2">
      <c r="E149"/>
    </row>
    <row r="150" spans="5:5" x14ac:dyDescent="0.2">
      <c r="E150"/>
    </row>
    <row r="151" spans="5:5" x14ac:dyDescent="0.2">
      <c r="E151"/>
    </row>
    <row r="152" spans="5:5" x14ac:dyDescent="0.2">
      <c r="E152"/>
    </row>
    <row r="153" spans="5:5" x14ac:dyDescent="0.2">
      <c r="E153"/>
    </row>
    <row r="154" spans="5:5" x14ac:dyDescent="0.2">
      <c r="E154"/>
    </row>
    <row r="155" spans="5:5" x14ac:dyDescent="0.2">
      <c r="E155"/>
    </row>
    <row r="156" spans="5:5" x14ac:dyDescent="0.2">
      <c r="E156"/>
    </row>
    <row r="157" spans="5:5" x14ac:dyDescent="0.2">
      <c r="E157"/>
    </row>
    <row r="158" spans="5:5" x14ac:dyDescent="0.2">
      <c r="E158"/>
    </row>
    <row r="159" spans="5:5" x14ac:dyDescent="0.2">
      <c r="E159"/>
    </row>
    <row r="160" spans="5:5"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5:5" x14ac:dyDescent="0.2">
      <c r="E273"/>
    </row>
    <row r="274" spans="5:5" x14ac:dyDescent="0.2">
      <c r="E274"/>
    </row>
    <row r="275" spans="5:5" x14ac:dyDescent="0.2">
      <c r="E275"/>
    </row>
    <row r="276" spans="5:5" x14ac:dyDescent="0.2">
      <c r="E276"/>
    </row>
    <row r="277" spans="5:5" x14ac:dyDescent="0.2">
      <c r="E277"/>
    </row>
    <row r="278" spans="5:5" x14ac:dyDescent="0.2">
      <c r="E278"/>
    </row>
    <row r="279" spans="5:5" x14ac:dyDescent="0.2">
      <c r="E279"/>
    </row>
    <row r="280" spans="5:5" x14ac:dyDescent="0.2">
      <c r="E280"/>
    </row>
    <row r="281" spans="5:5" x14ac:dyDescent="0.2">
      <c r="E281"/>
    </row>
    <row r="282" spans="5:5" x14ac:dyDescent="0.2">
      <c r="E282"/>
    </row>
    <row r="283" spans="5:5" x14ac:dyDescent="0.2">
      <c r="E283"/>
    </row>
    <row r="284" spans="5:5" x14ac:dyDescent="0.2">
      <c r="E284"/>
    </row>
    <row r="285" spans="5:5" x14ac:dyDescent="0.2">
      <c r="E285"/>
    </row>
    <row r="286" spans="5:5" x14ac:dyDescent="0.2">
      <c r="E286"/>
    </row>
    <row r="287" spans="5:5" x14ac:dyDescent="0.2">
      <c r="E287"/>
    </row>
    <row r="288" spans="5:5" x14ac:dyDescent="0.2">
      <c r="E288"/>
    </row>
    <row r="289" spans="5:5" x14ac:dyDescent="0.2">
      <c r="E289"/>
    </row>
    <row r="290" spans="5:5" x14ac:dyDescent="0.2">
      <c r="E290"/>
    </row>
    <row r="291" spans="5:5" x14ac:dyDescent="0.2">
      <c r="E291"/>
    </row>
    <row r="292" spans="5:5" x14ac:dyDescent="0.2">
      <c r="E292"/>
    </row>
    <row r="293" spans="5:5" x14ac:dyDescent="0.2">
      <c r="E293"/>
    </row>
    <row r="294" spans="5:5" x14ac:dyDescent="0.2">
      <c r="E294"/>
    </row>
    <row r="295" spans="5:5" x14ac:dyDescent="0.2">
      <c r="E295"/>
    </row>
    <row r="296" spans="5:5" x14ac:dyDescent="0.2">
      <c r="E296"/>
    </row>
    <row r="297" spans="5:5" x14ac:dyDescent="0.2">
      <c r="E297"/>
    </row>
    <row r="298" spans="5:5" x14ac:dyDescent="0.2">
      <c r="E298"/>
    </row>
    <row r="299" spans="5:5" x14ac:dyDescent="0.2">
      <c r="E299"/>
    </row>
    <row r="300" spans="5:5" x14ac:dyDescent="0.2">
      <c r="E300"/>
    </row>
    <row r="301" spans="5:5" x14ac:dyDescent="0.2">
      <c r="E301"/>
    </row>
    <row r="302" spans="5:5" x14ac:dyDescent="0.2">
      <c r="E302"/>
    </row>
    <row r="303" spans="5:5" x14ac:dyDescent="0.2">
      <c r="E303"/>
    </row>
    <row r="304" spans="5:5" x14ac:dyDescent="0.2">
      <c r="E304"/>
    </row>
    <row r="305" spans="5:5" x14ac:dyDescent="0.2">
      <c r="E305"/>
    </row>
    <row r="306" spans="5:5" x14ac:dyDescent="0.2">
      <c r="E306"/>
    </row>
    <row r="307" spans="5:5" x14ac:dyDescent="0.2">
      <c r="E307"/>
    </row>
    <row r="308" spans="5:5" x14ac:dyDescent="0.2">
      <c r="E308"/>
    </row>
    <row r="309" spans="5:5" x14ac:dyDescent="0.2">
      <c r="E309"/>
    </row>
    <row r="310" spans="5:5" x14ac:dyDescent="0.2">
      <c r="E310"/>
    </row>
    <row r="311" spans="5:5" x14ac:dyDescent="0.2">
      <c r="E311"/>
    </row>
    <row r="312" spans="5:5" x14ac:dyDescent="0.2">
      <c r="E312"/>
    </row>
    <row r="313" spans="5:5" x14ac:dyDescent="0.2">
      <c r="E313"/>
    </row>
    <row r="314" spans="5:5" x14ac:dyDescent="0.2">
      <c r="E314"/>
    </row>
    <row r="315" spans="5:5" x14ac:dyDescent="0.2">
      <c r="E315"/>
    </row>
    <row r="316" spans="5:5" x14ac:dyDescent="0.2">
      <c r="E316"/>
    </row>
    <row r="317" spans="5:5" x14ac:dyDescent="0.2">
      <c r="E317"/>
    </row>
    <row r="318" spans="5:5" x14ac:dyDescent="0.2">
      <c r="E318"/>
    </row>
    <row r="319" spans="5:5" x14ac:dyDescent="0.2">
      <c r="E319"/>
    </row>
    <row r="320" spans="5:5" x14ac:dyDescent="0.2">
      <c r="E320"/>
    </row>
    <row r="321" spans="5:5" x14ac:dyDescent="0.2">
      <c r="E321"/>
    </row>
    <row r="322" spans="5:5" x14ac:dyDescent="0.2">
      <c r="E322"/>
    </row>
    <row r="323" spans="5:5" x14ac:dyDescent="0.2">
      <c r="E323"/>
    </row>
    <row r="324" spans="5:5" x14ac:dyDescent="0.2">
      <c r="E324"/>
    </row>
    <row r="325" spans="5:5" x14ac:dyDescent="0.2">
      <c r="E325"/>
    </row>
    <row r="326" spans="5:5" x14ac:dyDescent="0.2">
      <c r="E326"/>
    </row>
    <row r="327" spans="5:5" x14ac:dyDescent="0.2">
      <c r="E327"/>
    </row>
    <row r="328" spans="5:5" x14ac:dyDescent="0.2">
      <c r="E328"/>
    </row>
    <row r="329" spans="5:5" x14ac:dyDescent="0.2">
      <c r="E329"/>
    </row>
    <row r="330" spans="5:5" x14ac:dyDescent="0.2">
      <c r="E330"/>
    </row>
    <row r="331" spans="5:5" x14ac:dyDescent="0.2">
      <c r="E331"/>
    </row>
    <row r="332" spans="5:5" x14ac:dyDescent="0.2">
      <c r="E332"/>
    </row>
    <row r="333" spans="5:5" x14ac:dyDescent="0.2">
      <c r="E333"/>
    </row>
    <row r="334" spans="5:5" x14ac:dyDescent="0.2">
      <c r="E334"/>
    </row>
    <row r="335" spans="5:5" x14ac:dyDescent="0.2">
      <c r="E335"/>
    </row>
    <row r="336" spans="5:5" x14ac:dyDescent="0.2">
      <c r="E336"/>
    </row>
    <row r="337" spans="5:5" x14ac:dyDescent="0.2">
      <c r="E337"/>
    </row>
    <row r="338" spans="5:5" x14ac:dyDescent="0.2">
      <c r="E338"/>
    </row>
    <row r="339" spans="5:5" x14ac:dyDescent="0.2">
      <c r="E339"/>
    </row>
    <row r="340" spans="5:5" x14ac:dyDescent="0.2">
      <c r="E340"/>
    </row>
    <row r="341" spans="5:5" x14ac:dyDescent="0.2">
      <c r="E341"/>
    </row>
    <row r="342" spans="5:5" x14ac:dyDescent="0.2">
      <c r="E342"/>
    </row>
    <row r="343" spans="5:5" x14ac:dyDescent="0.2">
      <c r="E343"/>
    </row>
    <row r="344" spans="5:5" x14ac:dyDescent="0.2">
      <c r="E344"/>
    </row>
    <row r="345" spans="5:5" x14ac:dyDescent="0.2">
      <c r="E345"/>
    </row>
    <row r="346" spans="5:5" x14ac:dyDescent="0.2">
      <c r="E346"/>
    </row>
    <row r="347" spans="5:5" x14ac:dyDescent="0.2">
      <c r="E347"/>
    </row>
    <row r="348" spans="5:5" x14ac:dyDescent="0.2">
      <c r="E348"/>
    </row>
    <row r="349" spans="5:5" x14ac:dyDescent="0.2">
      <c r="E349"/>
    </row>
    <row r="350" spans="5:5" x14ac:dyDescent="0.2">
      <c r="E350"/>
    </row>
    <row r="351" spans="5:5" x14ac:dyDescent="0.2">
      <c r="E351"/>
    </row>
    <row r="352" spans="5:5" x14ac:dyDescent="0.2">
      <c r="E352"/>
    </row>
    <row r="353" spans="5:5" x14ac:dyDescent="0.2">
      <c r="E353"/>
    </row>
    <row r="354" spans="5:5" x14ac:dyDescent="0.2">
      <c r="E354"/>
    </row>
    <row r="355" spans="5:5" x14ac:dyDescent="0.2">
      <c r="E355"/>
    </row>
    <row r="356" spans="5:5" x14ac:dyDescent="0.2">
      <c r="E356"/>
    </row>
    <row r="357" spans="5:5" x14ac:dyDescent="0.2">
      <c r="E357"/>
    </row>
    <row r="358" spans="5:5" x14ac:dyDescent="0.2">
      <c r="E358"/>
    </row>
    <row r="359" spans="5:5" x14ac:dyDescent="0.2">
      <c r="E359"/>
    </row>
    <row r="360" spans="5:5" x14ac:dyDescent="0.2">
      <c r="E360"/>
    </row>
    <row r="361" spans="5:5" x14ac:dyDescent="0.2">
      <c r="E361"/>
    </row>
    <row r="362" spans="5:5" x14ac:dyDescent="0.2">
      <c r="E362"/>
    </row>
    <row r="363" spans="5:5" x14ac:dyDescent="0.2">
      <c r="E363"/>
    </row>
    <row r="364" spans="5:5" x14ac:dyDescent="0.2">
      <c r="E364"/>
    </row>
    <row r="365" spans="5:5" x14ac:dyDescent="0.2">
      <c r="E365"/>
    </row>
    <row r="366" spans="5:5" x14ac:dyDescent="0.2">
      <c r="E366"/>
    </row>
    <row r="367" spans="5:5" x14ac:dyDescent="0.2">
      <c r="E367"/>
    </row>
    <row r="368" spans="5:5" x14ac:dyDescent="0.2">
      <c r="E368"/>
    </row>
    <row r="369" spans="5:5" x14ac:dyDescent="0.2">
      <c r="E369"/>
    </row>
    <row r="370" spans="5:5" x14ac:dyDescent="0.2">
      <c r="E370"/>
    </row>
    <row r="371" spans="5:5" x14ac:dyDescent="0.2">
      <c r="E371"/>
    </row>
    <row r="372" spans="5:5" x14ac:dyDescent="0.2">
      <c r="E372"/>
    </row>
    <row r="373" spans="5:5" x14ac:dyDescent="0.2">
      <c r="E373"/>
    </row>
    <row r="374" spans="5:5" x14ac:dyDescent="0.2">
      <c r="E374"/>
    </row>
    <row r="375" spans="5:5" x14ac:dyDescent="0.2">
      <c r="E375"/>
    </row>
    <row r="376" spans="5:5" x14ac:dyDescent="0.2">
      <c r="E376"/>
    </row>
    <row r="377" spans="5:5" x14ac:dyDescent="0.2">
      <c r="E377"/>
    </row>
    <row r="378" spans="5:5" x14ac:dyDescent="0.2">
      <c r="E378"/>
    </row>
    <row r="379" spans="5:5" x14ac:dyDescent="0.2">
      <c r="E379"/>
    </row>
    <row r="380" spans="5:5" x14ac:dyDescent="0.2">
      <c r="E380"/>
    </row>
    <row r="381" spans="5:5" x14ac:dyDescent="0.2">
      <c r="E381"/>
    </row>
    <row r="382" spans="5:5" x14ac:dyDescent="0.2">
      <c r="E382"/>
    </row>
    <row r="383" spans="5:5" x14ac:dyDescent="0.2">
      <c r="E383"/>
    </row>
    <row r="384" spans="5:5" x14ac:dyDescent="0.2">
      <c r="E384"/>
    </row>
    <row r="385" spans="5:5" x14ac:dyDescent="0.2">
      <c r="E385"/>
    </row>
    <row r="386" spans="5:5" x14ac:dyDescent="0.2">
      <c r="E386"/>
    </row>
    <row r="387" spans="5:5" x14ac:dyDescent="0.2">
      <c r="E387"/>
    </row>
    <row r="388" spans="5:5" x14ac:dyDescent="0.2">
      <c r="E388"/>
    </row>
    <row r="389" spans="5:5" x14ac:dyDescent="0.2">
      <c r="E389"/>
    </row>
    <row r="390" spans="5:5" x14ac:dyDescent="0.2">
      <c r="E390"/>
    </row>
    <row r="391" spans="5:5" x14ac:dyDescent="0.2">
      <c r="E391"/>
    </row>
    <row r="392" spans="5:5" x14ac:dyDescent="0.2">
      <c r="E392"/>
    </row>
    <row r="393" spans="5:5" x14ac:dyDescent="0.2">
      <c r="E393"/>
    </row>
    <row r="394" spans="5:5" x14ac:dyDescent="0.2">
      <c r="E394"/>
    </row>
    <row r="395" spans="5:5" x14ac:dyDescent="0.2">
      <c r="E395"/>
    </row>
    <row r="396" spans="5:5" x14ac:dyDescent="0.2">
      <c r="E396"/>
    </row>
    <row r="397" spans="5:5" x14ac:dyDescent="0.2">
      <c r="E397"/>
    </row>
    <row r="398" spans="5:5" x14ac:dyDescent="0.2">
      <c r="E398"/>
    </row>
    <row r="399" spans="5:5" x14ac:dyDescent="0.2">
      <c r="E399"/>
    </row>
    <row r="400" spans="5:5"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sheetData>
  <sheetProtection password="C234" sheet="1"/>
  <mergeCells count="75">
    <mergeCell ref="D107:D108"/>
    <mergeCell ref="H65:M65"/>
    <mergeCell ref="H44:M44"/>
    <mergeCell ref="D127:D128"/>
    <mergeCell ref="H106:M106"/>
    <mergeCell ref="H85:M85"/>
    <mergeCell ref="H126:M126"/>
    <mergeCell ref="D86:D87"/>
    <mergeCell ref="AQ86:AT86"/>
    <mergeCell ref="W86:Z86"/>
    <mergeCell ref="AA86:AD86"/>
    <mergeCell ref="W107:Z107"/>
    <mergeCell ref="AH106:AT106"/>
    <mergeCell ref="AA127:AD127"/>
    <mergeCell ref="AI107:AL107"/>
    <mergeCell ref="AM107:AP107"/>
    <mergeCell ref="AQ107:AT107"/>
    <mergeCell ref="AH85:AT85"/>
    <mergeCell ref="Q126:AD126"/>
    <mergeCell ref="AI127:AL127"/>
    <mergeCell ref="AM127:AP127"/>
    <mergeCell ref="AQ127:AT127"/>
    <mergeCell ref="Q127:R127"/>
    <mergeCell ref="S127:V127"/>
    <mergeCell ref="W127:Z127"/>
    <mergeCell ref="Q107:R107"/>
    <mergeCell ref="S107:V107"/>
    <mergeCell ref="AH126:AT126"/>
    <mergeCell ref="AA107:AD107"/>
    <mergeCell ref="Q106:AD106"/>
    <mergeCell ref="AI86:AL86"/>
    <mergeCell ref="AM25:AP25"/>
    <mergeCell ref="AI25:AL25"/>
    <mergeCell ref="AI66:AL66"/>
    <mergeCell ref="AM66:AP66"/>
    <mergeCell ref="Q86:R86"/>
    <mergeCell ref="S86:V86"/>
    <mergeCell ref="Q85:AD85"/>
    <mergeCell ref="AM86:AP86"/>
    <mergeCell ref="AQ66:AT66"/>
    <mergeCell ref="AH65:AT65"/>
    <mergeCell ref="D25:D26"/>
    <mergeCell ref="D45:D46"/>
    <mergeCell ref="W66:Z66"/>
    <mergeCell ref="D66:D67"/>
    <mergeCell ref="AA66:AD66"/>
    <mergeCell ref="S66:V66"/>
    <mergeCell ref="Q66:R66"/>
    <mergeCell ref="Q65:AD65"/>
    <mergeCell ref="AH24:AT24"/>
    <mergeCell ref="Q24:AD24"/>
    <mergeCell ref="S25:V25"/>
    <mergeCell ref="AQ45:AT45"/>
    <mergeCell ref="Q44:AD44"/>
    <mergeCell ref="Q45:R45"/>
    <mergeCell ref="S45:V45"/>
    <mergeCell ref="W45:Z45"/>
    <mergeCell ref="AA45:AD45"/>
    <mergeCell ref="AI45:AL45"/>
    <mergeCell ref="AM45:AP45"/>
    <mergeCell ref="AH44:AT44"/>
    <mergeCell ref="AA25:AD25"/>
    <mergeCell ref="W25:Z25"/>
    <mergeCell ref="Q25:R25"/>
    <mergeCell ref="AQ25:AT25"/>
    <mergeCell ref="C2:I2"/>
    <mergeCell ref="C4:M4"/>
    <mergeCell ref="C6:M6"/>
    <mergeCell ref="H24:M24"/>
    <mergeCell ref="C7:M7"/>
    <mergeCell ref="C8:M8"/>
    <mergeCell ref="C10:M10"/>
    <mergeCell ref="C12:M12"/>
    <mergeCell ref="C15:M15"/>
    <mergeCell ref="C17:L17"/>
  </mergeCells>
  <phoneticPr fontId="17" type="noConversion"/>
  <dataValidations count="50">
    <dataValidation allowBlank="1" showInputMessage="1" showErrorMessage="1" promptTitle="Number of property assessments" prompt="This is the estimated number of ordinary farmland property assessments with land valued between $0 and $99,999 in the first year of the special variation." sqref="D109 D130:D142"/>
    <dataValidation allowBlank="1" showInputMessage="1" showErrorMessage="1" promptTitle="Rate in Year 1 - with SV" prompt="This is the ordinary farmland rate for a land value of $50,000 in Year 1 of the application - with the proposed special variation." sqref="G109"/>
    <dataValidation allowBlank="1" showInputMessage="1" showErrorMessage="1" promptTitle="Current Rate" prompt="This is the ordinary farmland rate for a land value of $50,000 in Year 0 of the application, usually the current financial year." sqref="F109 F129"/>
    <dataValidation allowBlank="1" showInputMessage="1" showErrorMessage="1" promptTitle="Rate in Year 2 - with SV" prompt="This is the ordinary farmland rate for a land value of $50,000 in Year 2 of the application - with the proposed special variation." sqref="H109"/>
    <dataValidation allowBlank="1" showInputMessage="1" showErrorMessage="1" promptTitle="Rate in Year 3 - with SV" prompt="This is the ordinary farmland rate for a land value of $50,000 in Year 3 of the application - with the proposed special variation." sqref="I109"/>
    <dataValidation allowBlank="1" showInputMessage="1" showErrorMessage="1" promptTitle="Rate in Year 4 - with SV" prompt="This is the ordinary farmland rate for a land value of $50,000 in Year 4 of the application - with the proposed special variation." sqref="J109"/>
    <dataValidation allowBlank="1" showInputMessage="1" showErrorMessage="1" promptTitle="Rate in Year 5 - with SV" prompt="This is the ordinary farmland rate for a land value of $50,000 in Year 5 of the application - with the proposed special variation." sqref="K109"/>
    <dataValidation allowBlank="1" showInputMessage="1" showErrorMessage="1" promptTitle="Rate in Year 6 - with SV" prompt="This is the ordinary farmland rate for a land value of $50,000 in Year 6 of the application - with the proposed special variation." sqref="L109"/>
    <dataValidation allowBlank="1" showInputMessage="1" showErrorMessage="1" promptTitle="Rate in Year 7 - with SV" prompt="This is the ordinary farmland rate for a land value of $50,000 in Year 7 of the application - with the proposed special variation." sqref="M109"/>
    <dataValidation allowBlank="1" showErrorMessage="1" promptTitle="Number of property assessments" prompt="This is the estimated number of ordinary residential property assessments with land valued between $0 and $99,999 in the first year of the special variation." sqref="D47:D61 D143 D110:D123 D88:D102 D69:D82 D27:D41"/>
    <dataValidation allowBlank="1" showInputMessage="1" showErrorMessage="1" promptTitle="Number of property assessments" prompt="This is the estimated number of ordinary business property assessments with land valued between $0 and $99,999 in the first year of the special variation." sqref="D68"/>
    <dataValidation allowBlank="1" showInputMessage="1" showErrorMessage="1" promptTitle="Rate in Year 1 - with SV" prompt="This is the ordinary business rate for a land value of $50,000 in Year 1 of the application - with the proposed special variation." sqref="G68"/>
    <dataValidation allowBlank="1" showInputMessage="1" showErrorMessage="1" promptTitle="Current Rate" prompt="This is the ordinary business rate for a land value of $50,000 in Year 0 of the application, usually the current financial year." sqref="F68 F88"/>
    <dataValidation allowBlank="1" showInputMessage="1" showErrorMessage="1" promptTitle="Rate in Year 2 - with SV" prompt="This is the ordinary business rate for a land value of $50,000 in Year 2 of the application - with the proposed special variation." sqref="H68"/>
    <dataValidation allowBlank="1" showInputMessage="1" showErrorMessage="1" promptTitle="Rate in Year 3 - with SV" prompt="This is the ordinary business rate for a land value of $50,000 in Year 3 of the application - with the proposed special variation." sqref="I68"/>
    <dataValidation allowBlank="1" showInputMessage="1" showErrorMessage="1" promptTitle="Rate in Year 4 - with SV" prompt="This is the ordinary business rate for a land value of $50,000 in Year 4 of the application - with the proposed special variation." sqref="J68"/>
    <dataValidation allowBlank="1" showInputMessage="1" showErrorMessage="1" promptTitle="Rate in Year 5 - with SV" prompt="This is the ordinary business rate for a land value of $50,000 in Year 5 of the application - with the proposed special variation." sqref="K68"/>
    <dataValidation allowBlank="1" showInputMessage="1" showErrorMessage="1" promptTitle="Rate in Year 6 - with SV" prompt="This is the ordinary business rate for a land value of $50,000 in Year 6 of the application - with the proposed special variation." sqref="L68"/>
    <dataValidation allowBlank="1" showInputMessage="1" showErrorMessage="1" promptTitle="Rate in Year 7 - with SV" prompt="This is the ordinary business rate for a land value of $50,000 in Year 7 of the application - with the proposed special variation." sqref="M68"/>
    <dataValidation allowBlank="1" showInputMessage="1" showErrorMessage="1" promptTitle="Current Rate" prompt="This is the ordinary residential rate for a land value of $50,000 in Year 0 of the application, usually the current financial year." sqref="F27 F47"/>
    <dataValidation allowBlank="1" showInputMessage="1" showErrorMessage="1" promptTitle="Rate in Year 1 - with SV" prompt="This is the ordinary residential rate for a land value of $50,000 in Year 1 of the application - with the proposed special variation." sqref="G27"/>
    <dataValidation allowBlank="1" showInputMessage="1" showErrorMessage="1" promptTitle="Rate in Year 2 - with SV" prompt="This is the ordinary residential rate for a land value of $50,000 in Year 2 of the application - with the proposed special variation." sqref="H27"/>
    <dataValidation allowBlank="1" showInputMessage="1" showErrorMessage="1" promptTitle="Rate in Year 3 - with SV" prompt="This is the ordinary residential rate for a land value of $50,000 in Year 3 of the application - with the proposed special variation." sqref="I27"/>
    <dataValidation allowBlank="1" showInputMessage="1" showErrorMessage="1" promptTitle="Rate in Year 4 - with SV" prompt="This is the ordinary residential rate for a land value of $50,000 in Year 4 of the application - with the proposed special variation." sqref="J27"/>
    <dataValidation allowBlank="1" showInputMessage="1" showErrorMessage="1" promptTitle="Rate in Year 5 - with SV" prompt="This is the ordinary residential rate for a land value of $50,000 in Year 5 of the application - with the proposed special variation." sqref="K27"/>
    <dataValidation allowBlank="1" showInputMessage="1" showErrorMessage="1" promptTitle="Rate in Year 6 - with SV" prompt="This is the ordinary residential rate for a land value of $50,000 in Year 6 of the application - with the proposed special variation." sqref="L27"/>
    <dataValidation allowBlank="1" showInputMessage="1" showErrorMessage="1" promptTitle="Rate in Year 7 - with SV" prompt="This is the ordinary residential rate for a land value of $50,000 in Year 7 of the application - with the proposed special variation." sqref="M27"/>
    <dataValidation allowBlank="1" showInputMessage="1" showErrorMessage="1" promptTitle="Rate in Year 1 - with SV" prompt="This is the ordinary farmland rate for a land value of $50,000 in Year 1 of the application - without the proposed special variation." sqref="G129"/>
    <dataValidation allowBlank="1" showInputMessage="1" showErrorMessage="1" promptTitle="Rate in Year 2 - with SV" prompt="This is the ordinary farmland rate for a land value of $50,000 in Year 2 of the application - without the proposed special variation." sqref="H129"/>
    <dataValidation allowBlank="1" showInputMessage="1" showErrorMessage="1" promptTitle="Rate in Year 3 - with SV" prompt="This is the ordinary farmland rate for a land value of $50,000 in Year 3 of the application - without the proposed special variation." sqref="I129"/>
    <dataValidation allowBlank="1" showInputMessage="1" showErrorMessage="1" promptTitle="Rate in Year 4 - with SV" prompt="This is the ordinary farmland rate for a land value of $50,000 in Year 4 of the application - without the proposed special variation." sqref="J129"/>
    <dataValidation allowBlank="1" showInputMessage="1" showErrorMessage="1" promptTitle="Rate in Year 5 - with SV" prompt="This is the ordinary farmland rate for a land value of $50,000 in Year 5 of the application - without the proposed special variation." sqref="K129"/>
    <dataValidation allowBlank="1" showInputMessage="1" showErrorMessage="1" promptTitle="Rate in Year 6 - with SV" prompt="This is the ordinary farmland rate for a land value of $50,000 in Year 6 of the application - without the proposed special variation." sqref="L129"/>
    <dataValidation allowBlank="1" showInputMessage="1" showErrorMessage="1" promptTitle="Rate in Year 7 - with SV" prompt="This is the ordinary farmland rate for a land value of $50,000 in Year 7 of the application - without the proposed special variation." sqref="M129"/>
    <dataValidation allowBlank="1" showInputMessage="1" showErrorMessage="1" promptTitle="Rate in Year 1 - with SV" prompt="This is the ordinary business rate for a land value of $50,000 in Year 1 of the application - without the proposed special variation." sqref="G88"/>
    <dataValidation allowBlank="1" showInputMessage="1" showErrorMessage="1" promptTitle="Rate in Year 2 - with SV" prompt="This is the ordinary business rate for a land value of $50,000 in Year 2 of the application - without the proposed special variation." sqref="H88"/>
    <dataValidation allowBlank="1" showInputMessage="1" showErrorMessage="1" promptTitle="Rate in Year 3 - with SV" prompt="This is the ordinary business rate for a land value of $50,000 in Year 3 of the application - without the proposed special variation." sqref="I88"/>
    <dataValidation allowBlank="1" showInputMessage="1" showErrorMessage="1" promptTitle="Rate in Year 4 - with SV" prompt="This is the ordinary business rate for a land value of $50,000 in Year 4 of the application - without the proposed special variation." sqref="J88"/>
    <dataValidation allowBlank="1" showInputMessage="1" showErrorMessage="1" promptTitle="Rate in Year 5 - with SV" prompt="This is the ordinary business rate for a land value of $50,000 in Year 5 of the application - without the proposed special variation." sqref="K88"/>
    <dataValidation allowBlank="1" showInputMessage="1" showErrorMessage="1" promptTitle="Rate in Year 6 - with SV" prompt="This is the ordinary business rate for a land value of $50,000 in Year 6 of the application - without the proposed special variation." sqref="L88"/>
    <dataValidation allowBlank="1" showInputMessage="1" showErrorMessage="1" promptTitle="Rate in Year 7 - with SV" prompt="This is the ordinary business rate for a land value of $50,000 in Year 7 of the application - without the proposed special variation." sqref="M88"/>
    <dataValidation allowBlank="1" showInputMessage="1" showErrorMessage="1" promptTitle="Rate in Year 1 - with SV" prompt="This is the ordinary residential rate for a land value of $50,000 in Year 1 of the application - without the proposed special variation." sqref="G47"/>
    <dataValidation allowBlank="1" showInputMessage="1" showErrorMessage="1" promptTitle="Rate in Year 2 - with SV" prompt="This is the ordinary residential rate for a land value of $50,000 in Year 2 of the application - without the proposed special variation." sqref="H47"/>
    <dataValidation allowBlank="1" showInputMessage="1" showErrorMessage="1" promptTitle="Rate in Year 3 - with SV" prompt="This is the ordinary residential rate for a land value of $50,000 in Year 3 of the application - without the proposed special variation." sqref="I47"/>
    <dataValidation allowBlank="1" showInputMessage="1" showErrorMessage="1" promptTitle="Rate in Year 4 - with SV" prompt="This is the ordinary residential rate for a land value of $50,000 in Year 4 of the application - without the proposed special variation." sqref="J47"/>
    <dataValidation allowBlank="1" showInputMessage="1" showErrorMessage="1" promptTitle="Rate in Year 5 - with SV" prompt="This is the ordinary residential rate for a land value of $50,000 in Year 5 of the application - without the proposed special variation." sqref="K47"/>
    <dataValidation allowBlank="1" showInputMessage="1" showErrorMessage="1" promptTitle="Rate in Year 6 - with SV" prompt="This is the ordinary residential rate for a land value of $50,000 in Year 6 of the application - without the proposed special variation." sqref="L47"/>
    <dataValidation allowBlank="1" showInputMessage="1" showErrorMessage="1" promptTitle="Rate in Year 7 - with SV" prompt="This is the ordinary residential rate for a land value of $50,000 in Year 7 of the application - without the proposed special variation." sqref="M47"/>
    <dataValidation allowBlank="1" showErrorMessage="1" promptTitle="Number of property assessments" prompt="This is the estimated number of ordinary farmland property assessments with land valued between $0 and $99,999 in the first year of the special variation." sqref="D129"/>
    <dataValidation type="list" allowBlank="1" showInputMessage="1" showErrorMessage="1" sqref="G19">
      <formula1>$P$7:$P$10</formula1>
    </dataValidation>
  </dataValidations>
  <printOptions horizontalCentered="1"/>
  <pageMargins left="0.17" right="0.17" top="0.39370078740157483" bottom="0.39370078740157483" header="0.51181102362204722" footer="0.19685039370078741"/>
  <pageSetup paperSize="9" scale="31" fitToHeight="0" pageOrder="overThenDown" orientation="landscape" r:id="rId1"/>
  <headerFooter alignWithMargins="0"/>
  <rowBreaks count="2" manualBreakCount="2">
    <brk id="61" min="1" max="46" man="1"/>
    <brk id="102" min="1" max="46" man="1"/>
  </rowBreaks>
  <colBreaks count="1" manualBreakCount="1">
    <brk id="32" max="92"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100"/>
  <sheetViews>
    <sheetView showGridLines="0" tabSelected="1" topLeftCell="E1" zoomScaleNormal="100" zoomScaleSheetLayoutView="85" workbookViewId="0">
      <selection activeCell="B1" sqref="B1"/>
    </sheetView>
  </sheetViews>
  <sheetFormatPr defaultRowHeight="12" x14ac:dyDescent="0.2"/>
  <cols>
    <col min="1" max="1" width="2.7109375" hidden="1" customWidth="1"/>
    <col min="2" max="2" width="2.42578125" customWidth="1"/>
    <col min="3" max="3" width="39.5703125" customWidth="1"/>
    <col min="4" max="14" width="12.7109375" customWidth="1"/>
    <col min="17" max="17" width="15.5703125" customWidth="1"/>
  </cols>
  <sheetData>
    <row r="1" spans="1:14" x14ac:dyDescent="0.2">
      <c r="A1" s="218"/>
      <c r="B1" s="218"/>
      <c r="C1" s="218"/>
      <c r="D1" s="218"/>
      <c r="E1" s="218"/>
      <c r="F1" s="218"/>
      <c r="G1" s="218"/>
      <c r="H1" s="218"/>
      <c r="I1" s="218"/>
      <c r="J1" s="218"/>
      <c r="K1" s="218"/>
      <c r="L1" s="218"/>
      <c r="M1" s="218"/>
      <c r="N1" s="218"/>
    </row>
    <row r="2" spans="1:14" ht="15.75" x14ac:dyDescent="0.25">
      <c r="A2" s="218"/>
      <c r="B2" s="218"/>
      <c r="C2" s="838" t="str">
        <f>'WK1 - Identification'!E11</f>
        <v>Shoalhaven City Council</v>
      </c>
      <c r="D2" s="839"/>
      <c r="E2" s="839"/>
      <c r="F2" s="840"/>
      <c r="G2" s="217"/>
      <c r="H2" s="217"/>
      <c r="I2" s="217"/>
      <c r="J2" s="217"/>
      <c r="K2" s="217"/>
      <c r="L2" s="217"/>
      <c r="M2" s="218"/>
      <c r="N2" s="218"/>
    </row>
    <row r="3" spans="1:14" ht="3.75" customHeight="1" x14ac:dyDescent="0.2">
      <c r="A3" s="218"/>
      <c r="B3" s="218"/>
      <c r="C3" s="218"/>
      <c r="D3" s="218"/>
      <c r="E3" s="218"/>
      <c r="F3" s="218"/>
      <c r="G3" s="218"/>
      <c r="H3" s="218"/>
      <c r="I3" s="218"/>
      <c r="J3" s="218"/>
      <c r="K3" s="218"/>
      <c r="L3" s="218"/>
      <c r="M3" s="218"/>
      <c r="N3" s="218"/>
    </row>
    <row r="4" spans="1:14" ht="28.9" customHeight="1" x14ac:dyDescent="0.4">
      <c r="A4" s="218"/>
      <c r="B4" s="850" t="s">
        <v>365</v>
      </c>
      <c r="C4" s="850"/>
      <c r="D4" s="850"/>
      <c r="E4" s="850"/>
      <c r="F4" s="850"/>
      <c r="G4" s="850"/>
      <c r="H4" s="850"/>
      <c r="I4" s="850"/>
      <c r="J4" s="850"/>
      <c r="K4" s="850"/>
      <c r="L4" s="851"/>
      <c r="M4" s="851"/>
      <c r="N4" s="851"/>
    </row>
    <row r="5" spans="1:14" ht="6" customHeight="1" x14ac:dyDescent="0.2">
      <c r="A5" s="218"/>
      <c r="B5" s="218"/>
      <c r="C5" s="218"/>
      <c r="D5" s="218"/>
      <c r="E5" s="218"/>
      <c r="F5" s="218"/>
      <c r="G5" s="218"/>
      <c r="H5" s="218"/>
      <c r="I5" s="218"/>
      <c r="J5" s="218"/>
      <c r="K5" s="218"/>
      <c r="L5" s="218"/>
      <c r="M5" s="218"/>
      <c r="N5" s="218"/>
    </row>
    <row r="6" spans="1:14" ht="23.25" x14ac:dyDescent="0.35">
      <c r="A6" s="359"/>
      <c r="B6" s="852" t="s">
        <v>469</v>
      </c>
      <c r="C6" s="852"/>
      <c r="D6" s="852"/>
      <c r="E6" s="852"/>
      <c r="F6" s="852"/>
      <c r="G6" s="852"/>
      <c r="H6" s="852"/>
      <c r="I6" s="852"/>
      <c r="J6" s="852"/>
      <c r="K6" s="852"/>
      <c r="L6" s="851"/>
      <c r="M6" s="851"/>
      <c r="N6" s="851"/>
    </row>
    <row r="7" spans="1:14" ht="10.15" customHeight="1" x14ac:dyDescent="0.35">
      <c r="A7" s="82"/>
      <c r="B7" s="214"/>
      <c r="C7" s="853" t="s">
        <v>929</v>
      </c>
      <c r="D7" s="853"/>
      <c r="E7" s="853"/>
      <c r="F7" s="853"/>
      <c r="G7" s="853"/>
      <c r="H7" s="853"/>
      <c r="I7" s="853"/>
      <c r="J7" s="853"/>
      <c r="K7" s="853"/>
      <c r="L7" s="853"/>
      <c r="M7" s="853"/>
      <c r="N7" s="853"/>
    </row>
    <row r="8" spans="1:14" ht="17.25" customHeight="1" x14ac:dyDescent="0.2">
      <c r="A8" s="38"/>
      <c r="B8" s="38"/>
      <c r="C8" s="853"/>
      <c r="D8" s="853"/>
      <c r="E8" s="853"/>
      <c r="F8" s="853"/>
      <c r="G8" s="853"/>
      <c r="H8" s="853"/>
      <c r="I8" s="853"/>
      <c r="J8" s="853"/>
      <c r="K8" s="853"/>
      <c r="L8" s="853"/>
      <c r="M8" s="853"/>
      <c r="N8" s="853"/>
    </row>
    <row r="9" spans="1:14" x14ac:dyDescent="0.2">
      <c r="A9" s="38"/>
      <c r="B9" s="38"/>
      <c r="C9" s="853"/>
      <c r="D9" s="853"/>
      <c r="E9" s="853"/>
      <c r="F9" s="853"/>
      <c r="G9" s="853"/>
      <c r="H9" s="853"/>
      <c r="I9" s="853"/>
      <c r="J9" s="853"/>
      <c r="K9" s="853"/>
      <c r="L9" s="853"/>
      <c r="M9" s="853"/>
      <c r="N9" s="853"/>
    </row>
    <row r="10" spans="1:14" x14ac:dyDescent="0.2">
      <c r="A10" s="38"/>
      <c r="B10" s="38"/>
      <c r="C10" s="853"/>
      <c r="D10" s="853"/>
      <c r="E10" s="853"/>
      <c r="F10" s="853"/>
      <c r="G10" s="853"/>
      <c r="H10" s="853"/>
      <c r="I10" s="853"/>
      <c r="J10" s="853"/>
      <c r="K10" s="853"/>
      <c r="L10" s="853"/>
      <c r="M10" s="853"/>
      <c r="N10" s="853"/>
    </row>
    <row r="11" spans="1:14" x14ac:dyDescent="0.2">
      <c r="A11" s="38"/>
      <c r="B11" s="38"/>
      <c r="C11" s="853"/>
      <c r="D11" s="853"/>
      <c r="E11" s="853"/>
      <c r="F11" s="853"/>
      <c r="G11" s="853"/>
      <c r="H11" s="853"/>
      <c r="I11" s="853"/>
      <c r="J11" s="853"/>
      <c r="K11" s="853"/>
      <c r="L11" s="853"/>
      <c r="M11" s="853"/>
      <c r="N11" s="853"/>
    </row>
    <row r="12" spans="1:14" x14ac:dyDescent="0.2">
      <c r="A12" s="38"/>
      <c r="B12" s="38"/>
      <c r="C12" s="853"/>
      <c r="D12" s="853"/>
      <c r="E12" s="853"/>
      <c r="F12" s="853"/>
      <c r="G12" s="853"/>
      <c r="H12" s="853"/>
      <c r="I12" s="853"/>
      <c r="J12" s="853"/>
      <c r="K12" s="853"/>
      <c r="L12" s="853"/>
      <c r="M12" s="853"/>
      <c r="N12" s="853"/>
    </row>
    <row r="13" spans="1:14" x14ac:dyDescent="0.2">
      <c r="A13" s="38"/>
      <c r="B13" s="38"/>
      <c r="C13" s="853"/>
      <c r="D13" s="853"/>
      <c r="E13" s="853"/>
      <c r="F13" s="853"/>
      <c r="G13" s="853"/>
      <c r="H13" s="853"/>
      <c r="I13" s="853"/>
      <c r="J13" s="853"/>
      <c r="K13" s="853"/>
      <c r="L13" s="853"/>
      <c r="M13" s="853"/>
      <c r="N13" s="853"/>
    </row>
    <row r="14" spans="1:14" x14ac:dyDescent="0.2">
      <c r="A14" s="38"/>
      <c r="B14" s="38"/>
      <c r="C14" s="853"/>
      <c r="D14" s="853"/>
      <c r="E14" s="853"/>
      <c r="F14" s="853"/>
      <c r="G14" s="853"/>
      <c r="H14" s="853"/>
      <c r="I14" s="853"/>
      <c r="J14" s="853"/>
      <c r="K14" s="853"/>
      <c r="L14" s="853"/>
      <c r="M14" s="853"/>
      <c r="N14" s="853"/>
    </row>
    <row r="15" spans="1:14" x14ac:dyDescent="0.2">
      <c r="A15" s="38"/>
      <c r="B15" s="38"/>
      <c r="C15" s="853"/>
      <c r="D15" s="853"/>
      <c r="E15" s="853"/>
      <c r="F15" s="853"/>
      <c r="G15" s="853"/>
      <c r="H15" s="853"/>
      <c r="I15" s="853"/>
      <c r="J15" s="853"/>
      <c r="K15" s="853"/>
      <c r="L15" s="853"/>
      <c r="M15" s="853"/>
      <c r="N15" s="853"/>
    </row>
    <row r="16" spans="1:14" ht="13.5" customHeight="1" x14ac:dyDescent="0.2">
      <c r="A16" s="38"/>
      <c r="B16" s="38"/>
      <c r="C16" s="853"/>
      <c r="D16" s="853"/>
      <c r="E16" s="853"/>
      <c r="F16" s="853"/>
      <c r="G16" s="853"/>
      <c r="H16" s="853"/>
      <c r="I16" s="853"/>
      <c r="J16" s="853"/>
      <c r="K16" s="853"/>
      <c r="L16" s="853"/>
      <c r="M16" s="853"/>
      <c r="N16" s="853"/>
    </row>
    <row r="17" spans="1:17" ht="6.75" customHeight="1" thickBot="1" x14ac:dyDescent="0.3">
      <c r="A17" s="38"/>
      <c r="B17" s="84"/>
      <c r="C17" s="38"/>
      <c r="D17" s="38"/>
      <c r="E17" s="38"/>
      <c r="F17" s="38"/>
      <c r="G17" s="38"/>
      <c r="H17" s="38"/>
      <c r="I17" s="38"/>
      <c r="J17" s="38"/>
      <c r="K17" s="38"/>
      <c r="L17" s="38"/>
      <c r="M17" s="38"/>
      <c r="N17" s="38"/>
    </row>
    <row r="18" spans="1:17" ht="16.5" thickBot="1" x14ac:dyDescent="0.3">
      <c r="A18" s="38"/>
      <c r="B18" s="38"/>
      <c r="C18" s="38"/>
      <c r="D18" s="843" t="s">
        <v>468</v>
      </c>
      <c r="E18" s="844"/>
      <c r="F18" s="844"/>
      <c r="G18" s="844"/>
      <c r="H18" s="844"/>
      <c r="I18" s="844"/>
      <c r="J18" s="844"/>
      <c r="K18" s="844"/>
      <c r="L18" s="845"/>
      <c r="M18" s="845"/>
      <c r="N18" s="846"/>
    </row>
    <row r="19" spans="1:17" ht="16.5" thickTop="1" x14ac:dyDescent="0.25">
      <c r="A19" s="38"/>
      <c r="B19" s="38"/>
      <c r="C19" s="427"/>
      <c r="D19" s="847"/>
      <c r="E19" s="848"/>
      <c r="F19" s="848"/>
      <c r="G19" s="848"/>
      <c r="H19" s="848"/>
      <c r="I19" s="848"/>
      <c r="J19" s="848"/>
      <c r="K19" s="848"/>
      <c r="L19" s="848"/>
      <c r="M19" s="848"/>
      <c r="N19" s="849"/>
    </row>
    <row r="20" spans="1:17" ht="39.75" customHeight="1" x14ac:dyDescent="0.2">
      <c r="A20" s="38"/>
      <c r="B20" s="38"/>
      <c r="C20" s="428"/>
      <c r="D20" s="429" t="s">
        <v>366</v>
      </c>
      <c r="E20" s="429" t="s">
        <v>367</v>
      </c>
      <c r="F20" s="429" t="s">
        <v>368</v>
      </c>
      <c r="G20" s="429" t="s">
        <v>369</v>
      </c>
      <c r="H20" s="429" t="s">
        <v>370</v>
      </c>
      <c r="I20" s="429" t="s">
        <v>371</v>
      </c>
      <c r="J20" s="429" t="s">
        <v>372</v>
      </c>
      <c r="K20" s="429" t="s">
        <v>373</v>
      </c>
      <c r="L20" s="429" t="s">
        <v>374</v>
      </c>
      <c r="M20" s="429" t="s">
        <v>375</v>
      </c>
      <c r="N20" s="854" t="s">
        <v>377</v>
      </c>
    </row>
    <row r="21" spans="1:17" ht="27.75" customHeight="1" x14ac:dyDescent="0.2">
      <c r="A21" s="38"/>
      <c r="B21" s="38"/>
      <c r="C21" s="431"/>
      <c r="D21" s="215" t="s">
        <v>24</v>
      </c>
      <c r="E21" s="215" t="s">
        <v>26</v>
      </c>
      <c r="F21" s="215" t="s">
        <v>29</v>
      </c>
      <c r="G21" s="215" t="s">
        <v>31</v>
      </c>
      <c r="H21" s="215" t="s">
        <v>33</v>
      </c>
      <c r="I21" s="215" t="s">
        <v>35</v>
      </c>
      <c r="J21" s="215" t="s">
        <v>37</v>
      </c>
      <c r="K21" s="432" t="s">
        <v>39</v>
      </c>
      <c r="L21" s="432" t="s">
        <v>41</v>
      </c>
      <c r="M21" s="432" t="s">
        <v>43</v>
      </c>
      <c r="N21" s="855"/>
    </row>
    <row r="22" spans="1:17" ht="15.75" customHeight="1" x14ac:dyDescent="0.25">
      <c r="A22" s="218"/>
      <c r="B22" s="218"/>
      <c r="C22" s="841" t="s">
        <v>470</v>
      </c>
      <c r="D22" s="755"/>
      <c r="E22" s="755"/>
      <c r="F22" s="755"/>
      <c r="G22" s="755"/>
      <c r="H22" s="755"/>
      <c r="I22" s="755"/>
      <c r="J22" s="755"/>
      <c r="K22" s="755"/>
      <c r="L22" s="755"/>
      <c r="M22" s="755"/>
      <c r="N22" s="842"/>
    </row>
    <row r="23" spans="1:17" ht="10.5" customHeight="1" x14ac:dyDescent="0.2">
      <c r="A23" s="218"/>
      <c r="B23" s="218"/>
      <c r="C23" s="433"/>
      <c r="D23" s="356"/>
      <c r="E23" s="356"/>
      <c r="F23" s="178"/>
      <c r="G23" s="178"/>
      <c r="H23" s="178"/>
      <c r="I23" s="178"/>
      <c r="J23" s="178"/>
      <c r="K23" s="179"/>
      <c r="L23" s="178"/>
      <c r="M23" s="179"/>
      <c r="N23" s="181"/>
    </row>
    <row r="24" spans="1:17" s="165" customFormat="1" ht="15" x14ac:dyDescent="0.25">
      <c r="A24" s="541"/>
      <c r="B24" s="541"/>
      <c r="C24" s="542" t="s">
        <v>471</v>
      </c>
      <c r="D24" s="543">
        <f>IF('WK1 - Identification'!F84=0,"",('WK1 - Identification'!F84))</f>
        <v>844288.00003809482</v>
      </c>
      <c r="E24" s="543">
        <f>IF('WK1 - Identification'!J72="",D24*1.03,'WK1 - Identification'!J72-'WK1 - Identification'!M72)</f>
        <v>869616.64003923535</v>
      </c>
      <c r="F24" s="543">
        <f>IF('WK1 - Identification'!J73="",E24*1.03,'WK1 - Identification'!J73-'WK1 - Identification'!M73)</f>
        <v>895705.1392404139</v>
      </c>
      <c r="G24" s="543">
        <f>IF('WK1 - Identification'!J74="",F24*1.03,'WK1 - Identification'!J74-'WK1 - Identification'!M74)</f>
        <v>922576.29341762513</v>
      </c>
      <c r="H24" s="543">
        <f>IF('WK1 - Identification'!J75="",G24*1.03,'WK1 - Identification'!J75-'WK1 - Identification'!M75)</f>
        <v>950253.58222015202</v>
      </c>
      <c r="I24" s="543">
        <f>IF('WK1 - Identification'!J76="",H24*1.03,'WK1 - Identification'!J76-'WK1 - Identification'!M76)</f>
        <v>978761.18968676031</v>
      </c>
      <c r="J24" s="543">
        <f>IF('WK1 - Identification'!J77="",I24*1.03,'WK1 - Identification'!J77-'WK1 - Identification'!M77)</f>
        <v>1008124.025377363</v>
      </c>
      <c r="K24" s="543">
        <f>J24*1.03</f>
        <v>1038367.7461386839</v>
      </c>
      <c r="L24" s="543">
        <f>K24*1.03</f>
        <v>1069518.7785228444</v>
      </c>
      <c r="M24" s="543">
        <f>L24*1.03</f>
        <v>1101604.3418785299</v>
      </c>
      <c r="N24" s="544">
        <f>SUM(D24:M24)</f>
        <v>9678815.7365597021</v>
      </c>
    </row>
    <row r="25" spans="1:17" ht="9" customHeight="1" x14ac:dyDescent="0.2">
      <c r="A25" s="218"/>
      <c r="B25" s="218"/>
      <c r="C25" s="434"/>
      <c r="D25" s="354"/>
      <c r="E25" s="354"/>
      <c r="F25" s="180"/>
      <c r="G25" s="180"/>
      <c r="H25" s="180"/>
      <c r="I25" s="180"/>
      <c r="J25" s="180"/>
      <c r="K25" s="179"/>
      <c r="L25" s="178"/>
      <c r="M25" s="179"/>
      <c r="N25" s="181"/>
    </row>
    <row r="26" spans="1:17" ht="22.9" customHeight="1" x14ac:dyDescent="0.25">
      <c r="A26" s="218"/>
      <c r="B26" s="218"/>
      <c r="C26" s="841" t="s">
        <v>531</v>
      </c>
      <c r="D26" s="755"/>
      <c r="E26" s="755"/>
      <c r="F26" s="755"/>
      <c r="G26" s="755"/>
      <c r="H26" s="755"/>
      <c r="I26" s="755"/>
      <c r="J26" s="755"/>
      <c r="K26" s="755"/>
      <c r="L26" s="755"/>
      <c r="M26" s="755"/>
      <c r="N26" s="842"/>
    </row>
    <row r="27" spans="1:17" ht="38.25" customHeight="1" x14ac:dyDescent="0.25">
      <c r="A27" s="218"/>
      <c r="B27" s="218"/>
      <c r="C27" s="648" t="s">
        <v>697</v>
      </c>
      <c r="D27" s="543">
        <f t="shared" ref="D27:M27" si="0">+D24-D61</f>
        <v>420326.59287901653</v>
      </c>
      <c r="E27" s="543">
        <f t="shared" si="0"/>
        <v>478781.47011831088</v>
      </c>
      <c r="F27" s="543">
        <f t="shared" si="0"/>
        <v>540013.59440544655</v>
      </c>
      <c r="G27" s="543">
        <f t="shared" si="0"/>
        <v>604168.62043634988</v>
      </c>
      <c r="H27" s="543">
        <f t="shared" si="0"/>
        <v>671400.3688884587</v>
      </c>
      <c r="I27" s="543">
        <f t="shared" si="0"/>
        <v>741871.30259730853</v>
      </c>
      <c r="J27" s="543">
        <f t="shared" si="0"/>
        <v>815753.0310983049</v>
      </c>
      <c r="K27" s="543">
        <f t="shared" si="0"/>
        <v>893226.84524217283</v>
      </c>
      <c r="L27" s="543">
        <f t="shared" si="0"/>
        <v>974484.28369587753</v>
      </c>
      <c r="M27" s="543">
        <f t="shared" si="0"/>
        <v>1059727.7332507423</v>
      </c>
      <c r="N27" s="467">
        <f>SUM(D27:M27)</f>
        <v>7199753.842611989</v>
      </c>
    </row>
    <row r="28" spans="1:17" ht="27" customHeight="1" thickBot="1" x14ac:dyDescent="0.3">
      <c r="A28" s="218"/>
      <c r="B28" s="218"/>
      <c r="C28" s="841" t="s">
        <v>638</v>
      </c>
      <c r="D28" s="755"/>
      <c r="E28" s="755"/>
      <c r="F28" s="755"/>
      <c r="G28" s="755"/>
      <c r="H28" s="755"/>
      <c r="I28" s="755"/>
      <c r="J28" s="755"/>
      <c r="K28" s="755"/>
      <c r="L28" s="755"/>
      <c r="M28" s="755"/>
      <c r="N28" s="842"/>
    </row>
    <row r="29" spans="1:17" ht="30.75" thickBot="1" x14ac:dyDescent="0.25">
      <c r="A29" s="218"/>
      <c r="B29" s="218"/>
      <c r="C29" s="575" t="s">
        <v>688</v>
      </c>
      <c r="D29" s="177"/>
      <c r="E29" s="177"/>
      <c r="F29" s="177"/>
      <c r="G29" s="177"/>
      <c r="H29" s="177"/>
      <c r="I29" s="177"/>
      <c r="J29" s="177"/>
      <c r="K29" s="466"/>
      <c r="L29" s="177"/>
      <c r="M29" s="466"/>
      <c r="N29" s="623"/>
    </row>
    <row r="30" spans="1:17" ht="15" x14ac:dyDescent="0.25">
      <c r="A30" s="218"/>
      <c r="B30" s="218"/>
      <c r="C30" s="470" t="s">
        <v>952</v>
      </c>
      <c r="D30" s="177">
        <v>423961.40715907828</v>
      </c>
      <c r="E30" s="177">
        <v>390835.16992092447</v>
      </c>
      <c r="F30" s="177">
        <v>355691.54483496735</v>
      </c>
      <c r="G30" s="177">
        <v>318407.67298127525</v>
      </c>
      <c r="H30" s="177">
        <v>278853.21333169332</v>
      </c>
      <c r="I30" s="177">
        <v>236889.88708945177</v>
      </c>
      <c r="J30" s="177">
        <v>192370.99427905807</v>
      </c>
      <c r="K30" s="177">
        <v>145140.90089651104</v>
      </c>
      <c r="L30" s="177">
        <v>95034.494826966897</v>
      </c>
      <c r="M30" s="177">
        <v>41876.608627787558</v>
      </c>
      <c r="N30" s="467">
        <f>SUM(D30:M30)</f>
        <v>2479061.893947714</v>
      </c>
      <c r="Q30" s="471"/>
    </row>
    <row r="31" spans="1:17" ht="18.75" customHeight="1" x14ac:dyDescent="0.25">
      <c r="A31" s="218"/>
      <c r="B31" s="218"/>
      <c r="C31" s="470"/>
      <c r="D31" s="177"/>
      <c r="E31" s="177"/>
      <c r="F31" s="177"/>
      <c r="G31" s="177"/>
      <c r="H31" s="177"/>
      <c r="I31" s="177"/>
      <c r="J31" s="177"/>
      <c r="K31" s="177"/>
      <c r="L31" s="177"/>
      <c r="M31" s="177"/>
      <c r="N31" s="467">
        <f t="shared" ref="N31:N45" si="1">SUM(D31:M31)</f>
        <v>0</v>
      </c>
    </row>
    <row r="32" spans="1:17" ht="18.75" customHeight="1" x14ac:dyDescent="0.25">
      <c r="A32" s="218"/>
      <c r="B32" s="218"/>
      <c r="C32" s="470"/>
      <c r="D32" s="177"/>
      <c r="E32" s="177"/>
      <c r="F32" s="177"/>
      <c r="G32" s="177"/>
      <c r="H32" s="177"/>
      <c r="I32" s="177"/>
      <c r="J32" s="177"/>
      <c r="K32" s="177"/>
      <c r="L32" s="177"/>
      <c r="M32" s="177"/>
      <c r="N32" s="467">
        <f t="shared" si="1"/>
        <v>0</v>
      </c>
    </row>
    <row r="33" spans="1:14" ht="18.75" customHeight="1" x14ac:dyDescent="0.25">
      <c r="A33" s="218"/>
      <c r="B33" s="218"/>
      <c r="C33" s="470"/>
      <c r="D33" s="177"/>
      <c r="E33" s="177"/>
      <c r="F33" s="177"/>
      <c r="G33" s="177"/>
      <c r="H33" s="177"/>
      <c r="I33" s="177"/>
      <c r="J33" s="177"/>
      <c r="K33" s="177"/>
      <c r="L33" s="177"/>
      <c r="M33" s="177"/>
      <c r="N33" s="467">
        <f t="shared" si="1"/>
        <v>0</v>
      </c>
    </row>
    <row r="34" spans="1:14" ht="18.75" customHeight="1" x14ac:dyDescent="0.25">
      <c r="A34" s="218"/>
      <c r="B34" s="218"/>
      <c r="C34" s="470"/>
      <c r="D34" s="177"/>
      <c r="E34" s="177"/>
      <c r="F34" s="177"/>
      <c r="G34" s="177"/>
      <c r="H34" s="177"/>
      <c r="I34" s="177"/>
      <c r="J34" s="177"/>
      <c r="K34" s="177"/>
      <c r="L34" s="177"/>
      <c r="M34" s="177"/>
      <c r="N34" s="467">
        <f t="shared" si="1"/>
        <v>0</v>
      </c>
    </row>
    <row r="35" spans="1:14" ht="18.75" customHeight="1" x14ac:dyDescent="0.25">
      <c r="A35" s="218"/>
      <c r="B35" s="218"/>
      <c r="C35" s="485"/>
      <c r="D35" s="177"/>
      <c r="E35" s="177"/>
      <c r="F35" s="177"/>
      <c r="G35" s="177"/>
      <c r="H35" s="177"/>
      <c r="I35" s="177"/>
      <c r="J35" s="177"/>
      <c r="K35" s="177"/>
      <c r="L35" s="177"/>
      <c r="M35" s="177"/>
      <c r="N35" s="467">
        <f t="shared" si="1"/>
        <v>0</v>
      </c>
    </row>
    <row r="36" spans="1:14" ht="18.75" customHeight="1" x14ac:dyDescent="0.25">
      <c r="A36" s="218"/>
      <c r="B36" s="218"/>
      <c r="C36" s="485"/>
      <c r="D36" s="177"/>
      <c r="E36" s="177"/>
      <c r="F36" s="177"/>
      <c r="G36" s="177"/>
      <c r="H36" s="177"/>
      <c r="I36" s="177"/>
      <c r="J36" s="177"/>
      <c r="K36" s="177"/>
      <c r="L36" s="177"/>
      <c r="M36" s="177"/>
      <c r="N36" s="467">
        <f t="shared" si="1"/>
        <v>0</v>
      </c>
    </row>
    <row r="37" spans="1:14" ht="18.75" customHeight="1" x14ac:dyDescent="0.25">
      <c r="A37" s="218"/>
      <c r="B37" s="218"/>
      <c r="C37" s="485"/>
      <c r="D37" s="177"/>
      <c r="E37" s="177"/>
      <c r="F37" s="177"/>
      <c r="G37" s="177"/>
      <c r="H37" s="177"/>
      <c r="I37" s="177"/>
      <c r="J37" s="177"/>
      <c r="K37" s="177"/>
      <c r="L37" s="177"/>
      <c r="M37" s="177"/>
      <c r="N37" s="467">
        <f t="shared" si="1"/>
        <v>0</v>
      </c>
    </row>
    <row r="38" spans="1:14" ht="18.75" customHeight="1" x14ac:dyDescent="0.25">
      <c r="A38" s="218"/>
      <c r="B38" s="218"/>
      <c r="C38" s="485"/>
      <c r="D38" s="177"/>
      <c r="E38" s="177"/>
      <c r="F38" s="177"/>
      <c r="G38" s="177"/>
      <c r="H38" s="177"/>
      <c r="I38" s="177"/>
      <c r="J38" s="177"/>
      <c r="K38" s="177"/>
      <c r="L38" s="177"/>
      <c r="M38" s="177"/>
      <c r="N38" s="467">
        <f t="shared" si="1"/>
        <v>0</v>
      </c>
    </row>
    <row r="39" spans="1:14" ht="18.75" customHeight="1" x14ac:dyDescent="0.25">
      <c r="A39" s="218"/>
      <c r="B39" s="218"/>
      <c r="C39" s="485"/>
      <c r="D39" s="177"/>
      <c r="E39" s="177"/>
      <c r="F39" s="177"/>
      <c r="G39" s="177"/>
      <c r="H39" s="177"/>
      <c r="I39" s="177"/>
      <c r="J39" s="177"/>
      <c r="K39" s="177"/>
      <c r="L39" s="177"/>
      <c r="M39" s="177"/>
      <c r="N39" s="467">
        <f t="shared" si="1"/>
        <v>0</v>
      </c>
    </row>
    <row r="40" spans="1:14" ht="18.75" customHeight="1" x14ac:dyDescent="0.25">
      <c r="A40" s="218"/>
      <c r="B40" s="218"/>
      <c r="C40" s="485"/>
      <c r="D40" s="177"/>
      <c r="E40" s="177"/>
      <c r="F40" s="177"/>
      <c r="G40" s="177"/>
      <c r="H40" s="177"/>
      <c r="I40" s="177"/>
      <c r="J40" s="177"/>
      <c r="K40" s="177"/>
      <c r="L40" s="177"/>
      <c r="M40" s="177"/>
      <c r="N40" s="467">
        <f t="shared" si="1"/>
        <v>0</v>
      </c>
    </row>
    <row r="41" spans="1:14" ht="18.75" customHeight="1" x14ac:dyDescent="0.25">
      <c r="A41" s="218"/>
      <c r="B41" s="218"/>
      <c r="C41" s="485"/>
      <c r="D41" s="177"/>
      <c r="E41" s="177"/>
      <c r="F41" s="177"/>
      <c r="G41" s="177"/>
      <c r="H41" s="177"/>
      <c r="I41" s="177"/>
      <c r="J41" s="177"/>
      <c r="K41" s="177"/>
      <c r="L41" s="177"/>
      <c r="M41" s="177"/>
      <c r="N41" s="467">
        <f t="shared" si="1"/>
        <v>0</v>
      </c>
    </row>
    <row r="42" spans="1:14" ht="18.75" customHeight="1" x14ac:dyDescent="0.25">
      <c r="A42" s="218"/>
      <c r="B42" s="218"/>
      <c r="C42" s="485"/>
      <c r="D42" s="177"/>
      <c r="E42" s="177"/>
      <c r="F42" s="177"/>
      <c r="G42" s="177"/>
      <c r="H42" s="177"/>
      <c r="I42" s="177"/>
      <c r="J42" s="177"/>
      <c r="K42" s="177"/>
      <c r="L42" s="177"/>
      <c r="M42" s="177"/>
      <c r="N42" s="467">
        <f t="shared" si="1"/>
        <v>0</v>
      </c>
    </row>
    <row r="43" spans="1:14" ht="18.75" customHeight="1" x14ac:dyDescent="0.25">
      <c r="A43" s="218"/>
      <c r="B43" s="218"/>
      <c r="C43" s="485"/>
      <c r="D43" s="177"/>
      <c r="E43" s="177"/>
      <c r="F43" s="177"/>
      <c r="G43" s="177"/>
      <c r="H43" s="177"/>
      <c r="I43" s="177"/>
      <c r="J43" s="177"/>
      <c r="K43" s="177"/>
      <c r="L43" s="177"/>
      <c r="M43" s="177"/>
      <c r="N43" s="467">
        <f t="shared" si="1"/>
        <v>0</v>
      </c>
    </row>
    <row r="44" spans="1:14" ht="18.75" customHeight="1" x14ac:dyDescent="0.25">
      <c r="A44" s="218"/>
      <c r="B44" s="218"/>
      <c r="C44" s="485"/>
      <c r="D44" s="177"/>
      <c r="E44" s="177"/>
      <c r="F44" s="177"/>
      <c r="G44" s="177"/>
      <c r="H44" s="177"/>
      <c r="I44" s="177"/>
      <c r="J44" s="177"/>
      <c r="K44" s="177"/>
      <c r="L44" s="177"/>
      <c r="M44" s="177"/>
      <c r="N44" s="467">
        <f t="shared" si="1"/>
        <v>0</v>
      </c>
    </row>
    <row r="45" spans="1:14" ht="18.75" customHeight="1" x14ac:dyDescent="0.25">
      <c r="A45" s="218"/>
      <c r="B45" s="218"/>
      <c r="C45" s="220" t="s">
        <v>689</v>
      </c>
      <c r="D45" s="177"/>
      <c r="E45" s="177"/>
      <c r="F45" s="177"/>
      <c r="G45" s="177"/>
      <c r="H45" s="177"/>
      <c r="I45" s="177"/>
      <c r="J45" s="177"/>
      <c r="K45" s="177"/>
      <c r="L45" s="177"/>
      <c r="M45" s="177"/>
      <c r="N45" s="467">
        <f t="shared" si="1"/>
        <v>0</v>
      </c>
    </row>
    <row r="46" spans="1:14" ht="18.75" customHeight="1" x14ac:dyDescent="0.2">
      <c r="A46" s="218"/>
      <c r="B46" s="218"/>
      <c r="C46" s="219"/>
      <c r="D46" s="177"/>
      <c r="E46" s="177"/>
      <c r="F46" s="177"/>
      <c r="G46" s="177"/>
      <c r="H46" s="177"/>
      <c r="I46" s="177"/>
      <c r="J46" s="177"/>
      <c r="K46" s="177"/>
      <c r="L46" s="177"/>
      <c r="M46" s="177"/>
      <c r="N46" s="467">
        <f t="shared" ref="N46:N61" si="2">SUM(D46:M46)</f>
        <v>0</v>
      </c>
    </row>
    <row r="47" spans="1:14" ht="18.75" customHeight="1" x14ac:dyDescent="0.2">
      <c r="A47" s="218"/>
      <c r="B47" s="218"/>
      <c r="C47" s="219"/>
      <c r="D47" s="177"/>
      <c r="E47" s="177"/>
      <c r="F47" s="177"/>
      <c r="G47" s="177"/>
      <c r="H47" s="177"/>
      <c r="I47" s="177"/>
      <c r="J47" s="177"/>
      <c r="K47" s="177"/>
      <c r="L47" s="177"/>
      <c r="M47" s="177"/>
      <c r="N47" s="467">
        <f t="shared" si="2"/>
        <v>0</v>
      </c>
    </row>
    <row r="48" spans="1:14" ht="18.75" customHeight="1" x14ac:dyDescent="0.2">
      <c r="A48" s="218"/>
      <c r="B48" s="218"/>
      <c r="C48" s="219"/>
      <c r="D48" s="177"/>
      <c r="E48" s="177"/>
      <c r="F48" s="177"/>
      <c r="G48" s="177"/>
      <c r="H48" s="177"/>
      <c r="I48" s="177"/>
      <c r="J48" s="177"/>
      <c r="K48" s="177"/>
      <c r="L48" s="177"/>
      <c r="M48" s="177"/>
      <c r="N48" s="467">
        <f t="shared" si="2"/>
        <v>0</v>
      </c>
    </row>
    <row r="49" spans="1:14" ht="18.75" customHeight="1" x14ac:dyDescent="0.2">
      <c r="A49" s="218"/>
      <c r="B49" s="218"/>
      <c r="C49" s="219"/>
      <c r="D49" s="177"/>
      <c r="E49" s="177"/>
      <c r="F49" s="177"/>
      <c r="G49" s="177"/>
      <c r="H49" s="177"/>
      <c r="I49" s="177"/>
      <c r="J49" s="177"/>
      <c r="K49" s="177"/>
      <c r="L49" s="177"/>
      <c r="M49" s="177"/>
      <c r="N49" s="467">
        <f t="shared" si="2"/>
        <v>0</v>
      </c>
    </row>
    <row r="50" spans="1:14" ht="18.75" customHeight="1" x14ac:dyDescent="0.2">
      <c r="A50" s="218"/>
      <c r="B50" s="218"/>
      <c r="C50" s="219"/>
      <c r="D50" s="177"/>
      <c r="E50" s="177"/>
      <c r="F50" s="177"/>
      <c r="G50" s="177"/>
      <c r="H50" s="177"/>
      <c r="I50" s="177"/>
      <c r="J50" s="177"/>
      <c r="K50" s="177"/>
      <c r="L50" s="177"/>
      <c r="M50" s="177"/>
      <c r="N50" s="467">
        <f t="shared" si="2"/>
        <v>0</v>
      </c>
    </row>
    <row r="51" spans="1:14" ht="18.75" customHeight="1" x14ac:dyDescent="0.2">
      <c r="A51" s="218"/>
      <c r="B51" s="218"/>
      <c r="C51" s="219"/>
      <c r="D51" s="177"/>
      <c r="E51" s="177"/>
      <c r="F51" s="177"/>
      <c r="G51" s="177"/>
      <c r="H51" s="177"/>
      <c r="I51" s="177"/>
      <c r="J51" s="177"/>
      <c r="K51" s="177"/>
      <c r="L51" s="177"/>
      <c r="M51" s="177"/>
      <c r="N51" s="467">
        <f t="shared" si="2"/>
        <v>0</v>
      </c>
    </row>
    <row r="52" spans="1:14" ht="18.75" customHeight="1" x14ac:dyDescent="0.2">
      <c r="A52" s="218"/>
      <c r="B52" s="218"/>
      <c r="C52" s="219"/>
      <c r="D52" s="177"/>
      <c r="E52" s="177"/>
      <c r="F52" s="177"/>
      <c r="G52" s="177"/>
      <c r="H52" s="177"/>
      <c r="I52" s="177"/>
      <c r="J52" s="177"/>
      <c r="K52" s="177"/>
      <c r="L52" s="177"/>
      <c r="M52" s="177"/>
      <c r="N52" s="467">
        <f t="shared" si="2"/>
        <v>0</v>
      </c>
    </row>
    <row r="53" spans="1:14" ht="18.75" customHeight="1" x14ac:dyDescent="0.2">
      <c r="A53" s="218"/>
      <c r="B53" s="218"/>
      <c r="C53" s="219"/>
      <c r="D53" s="177"/>
      <c r="E53" s="177"/>
      <c r="F53" s="177"/>
      <c r="G53" s="177"/>
      <c r="H53" s="177"/>
      <c r="I53" s="177"/>
      <c r="J53" s="177"/>
      <c r="K53" s="177"/>
      <c r="L53" s="177"/>
      <c r="M53" s="177"/>
      <c r="N53" s="467">
        <f t="shared" si="2"/>
        <v>0</v>
      </c>
    </row>
    <row r="54" spans="1:14" ht="18.75" customHeight="1" x14ac:dyDescent="0.2">
      <c r="A54" s="218"/>
      <c r="B54" s="218"/>
      <c r="C54" s="219"/>
      <c r="D54" s="177"/>
      <c r="E54" s="177"/>
      <c r="F54" s="177"/>
      <c r="G54" s="177"/>
      <c r="H54" s="177"/>
      <c r="I54" s="177"/>
      <c r="J54" s="177"/>
      <c r="K54" s="177"/>
      <c r="L54" s="177"/>
      <c r="M54" s="177"/>
      <c r="N54" s="467">
        <f t="shared" si="2"/>
        <v>0</v>
      </c>
    </row>
    <row r="55" spans="1:14" ht="18.75" customHeight="1" x14ac:dyDescent="0.2">
      <c r="A55" s="218"/>
      <c r="B55" s="218"/>
      <c r="C55" s="219"/>
      <c r="D55" s="177"/>
      <c r="E55" s="177"/>
      <c r="F55" s="177"/>
      <c r="G55" s="177"/>
      <c r="H55" s="177"/>
      <c r="I55" s="177"/>
      <c r="J55" s="177"/>
      <c r="K55" s="177"/>
      <c r="L55" s="177"/>
      <c r="M55" s="177"/>
      <c r="N55" s="467">
        <f t="shared" si="2"/>
        <v>0</v>
      </c>
    </row>
    <row r="56" spans="1:14" ht="18.75" customHeight="1" x14ac:dyDescent="0.2">
      <c r="A56" s="218"/>
      <c r="B56" s="218"/>
      <c r="C56" s="219"/>
      <c r="D56" s="177"/>
      <c r="E56" s="177"/>
      <c r="F56" s="177"/>
      <c r="G56" s="177"/>
      <c r="H56" s="177"/>
      <c r="I56" s="177"/>
      <c r="J56" s="177"/>
      <c r="K56" s="177"/>
      <c r="L56" s="177"/>
      <c r="M56" s="177"/>
      <c r="N56" s="467">
        <f t="shared" si="2"/>
        <v>0</v>
      </c>
    </row>
    <row r="57" spans="1:14" ht="18.75" customHeight="1" x14ac:dyDescent="0.2">
      <c r="A57" s="218"/>
      <c r="B57" s="218"/>
      <c r="C57" s="219"/>
      <c r="D57" s="177"/>
      <c r="E57" s="177"/>
      <c r="F57" s="177"/>
      <c r="G57" s="177"/>
      <c r="H57" s="177"/>
      <c r="I57" s="177"/>
      <c r="J57" s="177"/>
      <c r="K57" s="177"/>
      <c r="L57" s="177"/>
      <c r="M57" s="177"/>
      <c r="N57" s="467">
        <f t="shared" si="2"/>
        <v>0</v>
      </c>
    </row>
    <row r="58" spans="1:14" ht="18.75" customHeight="1" x14ac:dyDescent="0.2">
      <c r="A58" s="218"/>
      <c r="B58" s="218"/>
      <c r="C58" s="219"/>
      <c r="D58" s="177"/>
      <c r="E58" s="177"/>
      <c r="F58" s="177"/>
      <c r="G58" s="177"/>
      <c r="H58" s="177"/>
      <c r="I58" s="177"/>
      <c r="J58" s="177"/>
      <c r="K58" s="177"/>
      <c r="L58" s="177"/>
      <c r="M58" s="177"/>
      <c r="N58" s="467">
        <f t="shared" si="2"/>
        <v>0</v>
      </c>
    </row>
    <row r="59" spans="1:14" ht="18.75" customHeight="1" x14ac:dyDescent="0.2">
      <c r="A59" s="218"/>
      <c r="B59" s="218"/>
      <c r="C59" s="219"/>
      <c r="D59" s="177"/>
      <c r="E59" s="177"/>
      <c r="F59" s="177"/>
      <c r="G59" s="177"/>
      <c r="H59" s="177"/>
      <c r="I59" s="177"/>
      <c r="J59" s="177"/>
      <c r="K59" s="177"/>
      <c r="L59" s="177"/>
      <c r="M59" s="177"/>
      <c r="N59" s="467">
        <f t="shared" si="2"/>
        <v>0</v>
      </c>
    </row>
    <row r="60" spans="1:14" ht="14.25" x14ac:dyDescent="0.2">
      <c r="A60" s="218"/>
      <c r="B60" s="218"/>
      <c r="C60" s="219"/>
      <c r="D60" s="177"/>
      <c r="E60" s="177"/>
      <c r="F60" s="177"/>
      <c r="G60" s="177"/>
      <c r="H60" s="177"/>
      <c r="I60" s="177"/>
      <c r="J60" s="177"/>
      <c r="K60" s="466"/>
      <c r="L60" s="177"/>
      <c r="M60" s="466"/>
      <c r="N60" s="467">
        <f t="shared" si="2"/>
        <v>0</v>
      </c>
    </row>
    <row r="61" spans="1:14" ht="15.75" thickBot="1" x14ac:dyDescent="0.3">
      <c r="A61" s="218"/>
      <c r="B61" s="218"/>
      <c r="C61" s="671" t="s">
        <v>650</v>
      </c>
      <c r="D61" s="649">
        <f t="shared" ref="D61:M61" si="3">SUM(D29:D60)</f>
        <v>423961.40715907828</v>
      </c>
      <c r="E61" s="649">
        <f t="shared" si="3"/>
        <v>390835.16992092447</v>
      </c>
      <c r="F61" s="649">
        <f t="shared" si="3"/>
        <v>355691.54483496735</v>
      </c>
      <c r="G61" s="649">
        <f t="shared" si="3"/>
        <v>318407.67298127525</v>
      </c>
      <c r="H61" s="649">
        <f t="shared" si="3"/>
        <v>278853.21333169332</v>
      </c>
      <c r="I61" s="649">
        <f t="shared" si="3"/>
        <v>236889.88708945177</v>
      </c>
      <c r="J61" s="649">
        <f t="shared" si="3"/>
        <v>192370.99427905807</v>
      </c>
      <c r="K61" s="649">
        <f t="shared" si="3"/>
        <v>145140.90089651104</v>
      </c>
      <c r="L61" s="649">
        <f t="shared" si="3"/>
        <v>95034.494826966897</v>
      </c>
      <c r="M61" s="649">
        <f t="shared" si="3"/>
        <v>41876.608627787558</v>
      </c>
      <c r="N61" s="467">
        <f t="shared" si="2"/>
        <v>2479061.893947714</v>
      </c>
    </row>
    <row r="62" spans="1:14" ht="15.75" thickBot="1" x14ac:dyDescent="0.3">
      <c r="A62" s="218"/>
      <c r="B62" s="218"/>
      <c r="C62" s="671" t="s">
        <v>591</v>
      </c>
      <c r="D62" s="649">
        <f>D61</f>
        <v>423961.40715907828</v>
      </c>
      <c r="E62" s="649">
        <f>D61+E61</f>
        <v>814796.57708000275</v>
      </c>
      <c r="F62" s="649">
        <f>SUM(D61:F61)</f>
        <v>1170488.1219149702</v>
      </c>
      <c r="G62" s="649">
        <f>SUM(D61:G61)</f>
        <v>1488895.7948962455</v>
      </c>
      <c r="H62" s="649">
        <f>SUM(D61:H61)</f>
        <v>1767749.0082279388</v>
      </c>
      <c r="I62" s="649">
        <f>SUM(D61:I61)</f>
        <v>2004638.8953173906</v>
      </c>
      <c r="J62" s="649">
        <f>SUM(D61:J61)</f>
        <v>2197009.8895964487</v>
      </c>
      <c r="K62" s="649">
        <f>SUM(D61:K61)</f>
        <v>2342150.7904929598</v>
      </c>
      <c r="L62" s="649">
        <f>SUM(D61:L61)</f>
        <v>2437185.2853199267</v>
      </c>
      <c r="M62" s="649">
        <f>SUM(D61:M61)</f>
        <v>2479061.893947714</v>
      </c>
      <c r="N62" s="623"/>
    </row>
    <row r="63" spans="1:14" ht="15" thickBot="1" x14ac:dyDescent="0.25">
      <c r="A63" s="218"/>
      <c r="B63" s="218"/>
      <c r="C63" s="620"/>
      <c r="D63" s="621"/>
      <c r="E63" s="621"/>
      <c r="F63" s="621"/>
      <c r="G63" s="621"/>
      <c r="H63" s="621"/>
      <c r="I63" s="621"/>
      <c r="J63" s="621"/>
      <c r="K63" s="622"/>
      <c r="L63" s="621"/>
      <c r="M63" s="622"/>
      <c r="N63" s="623"/>
    </row>
    <row r="64" spans="1:14" ht="21" customHeight="1" x14ac:dyDescent="0.25">
      <c r="A64" s="218"/>
      <c r="B64" s="218"/>
      <c r="C64" s="624" t="s">
        <v>473</v>
      </c>
      <c r="D64" s="625"/>
      <c r="E64" s="625"/>
      <c r="F64" s="625"/>
      <c r="G64" s="625"/>
      <c r="H64" s="625"/>
      <c r="I64" s="625"/>
      <c r="J64" s="625"/>
      <c r="K64" s="625"/>
      <c r="L64" s="625"/>
      <c r="M64" s="625"/>
      <c r="N64" s="626"/>
    </row>
    <row r="65" spans="1:14" ht="15" x14ac:dyDescent="0.25">
      <c r="A65" s="218"/>
      <c r="B65" s="218"/>
      <c r="C65" s="468"/>
      <c r="D65" s="177"/>
      <c r="E65" s="177"/>
      <c r="F65" s="177"/>
      <c r="G65" s="177"/>
      <c r="H65" s="177"/>
      <c r="I65" s="177"/>
      <c r="J65" s="177"/>
      <c r="K65" s="177"/>
      <c r="L65" s="177"/>
      <c r="M65" s="177"/>
      <c r="N65" s="467">
        <f>SUM(D65:M65)</f>
        <v>0</v>
      </c>
    </row>
    <row r="66" spans="1:14" ht="15" x14ac:dyDescent="0.25">
      <c r="A66" s="218"/>
      <c r="B66" s="218"/>
      <c r="C66" s="468" t="s">
        <v>953</v>
      </c>
      <c r="D66" s="177">
        <v>4500000</v>
      </c>
      <c r="E66" s="177">
        <v>2700000</v>
      </c>
      <c r="F66" s="177"/>
      <c r="G66" s="177"/>
      <c r="H66" s="177"/>
      <c r="I66" s="177"/>
      <c r="J66" s="177"/>
      <c r="K66" s="177"/>
      <c r="L66" s="177"/>
      <c r="M66" s="177"/>
      <c r="N66" s="467">
        <f t="shared" ref="N66:N79" si="4">SUM(D66:M66)</f>
        <v>7200000</v>
      </c>
    </row>
    <row r="67" spans="1:14" ht="15" x14ac:dyDescent="0.25">
      <c r="A67" s="218"/>
      <c r="B67" s="218"/>
      <c r="C67" s="468"/>
      <c r="D67" s="177"/>
      <c r="E67" s="177"/>
      <c r="F67" s="177"/>
      <c r="G67" s="177"/>
      <c r="H67" s="177"/>
      <c r="I67" s="177"/>
      <c r="J67" s="177"/>
      <c r="K67" s="177"/>
      <c r="L67" s="177"/>
      <c r="M67" s="177"/>
      <c r="N67" s="467">
        <f t="shared" si="4"/>
        <v>0</v>
      </c>
    </row>
    <row r="68" spans="1:14" ht="15" x14ac:dyDescent="0.25">
      <c r="A68" s="218"/>
      <c r="B68" s="218"/>
      <c r="C68" s="468"/>
      <c r="D68" s="177"/>
      <c r="E68" s="177"/>
      <c r="F68" s="177"/>
      <c r="G68" s="177"/>
      <c r="H68" s="177"/>
      <c r="I68" s="177"/>
      <c r="J68" s="177"/>
      <c r="K68" s="177"/>
      <c r="L68" s="177"/>
      <c r="M68" s="177"/>
      <c r="N68" s="467">
        <f t="shared" si="4"/>
        <v>0</v>
      </c>
    </row>
    <row r="69" spans="1:14" ht="15" x14ac:dyDescent="0.25">
      <c r="A69" s="218"/>
      <c r="B69" s="218"/>
      <c r="C69" s="468"/>
      <c r="D69" s="177"/>
      <c r="E69" s="177"/>
      <c r="F69" s="177"/>
      <c r="G69" s="177"/>
      <c r="H69" s="177"/>
      <c r="I69" s="177"/>
      <c r="J69" s="177"/>
      <c r="K69" s="177"/>
      <c r="L69" s="177"/>
      <c r="M69" s="177"/>
      <c r="N69" s="467">
        <f t="shared" si="4"/>
        <v>0</v>
      </c>
    </row>
    <row r="70" spans="1:14" ht="15" x14ac:dyDescent="0.25">
      <c r="A70" s="218"/>
      <c r="B70" s="218"/>
      <c r="C70" s="468"/>
      <c r="D70" s="177"/>
      <c r="E70" s="177"/>
      <c r="F70" s="177"/>
      <c r="G70" s="177"/>
      <c r="H70" s="177"/>
      <c r="I70" s="177"/>
      <c r="J70" s="177"/>
      <c r="K70" s="177"/>
      <c r="L70" s="177"/>
      <c r="M70" s="177"/>
      <c r="N70" s="467">
        <f t="shared" si="4"/>
        <v>0</v>
      </c>
    </row>
    <row r="71" spans="1:14" ht="15" x14ac:dyDescent="0.25">
      <c r="A71" s="218"/>
      <c r="B71" s="218"/>
      <c r="C71" s="468"/>
      <c r="D71" s="177"/>
      <c r="E71" s="177"/>
      <c r="F71" s="177"/>
      <c r="G71" s="177"/>
      <c r="H71" s="177"/>
      <c r="I71" s="177"/>
      <c r="J71" s="177"/>
      <c r="K71" s="177"/>
      <c r="L71" s="177"/>
      <c r="M71" s="177"/>
      <c r="N71" s="467">
        <f t="shared" si="4"/>
        <v>0</v>
      </c>
    </row>
    <row r="72" spans="1:14" ht="15" x14ac:dyDescent="0.25">
      <c r="A72" s="218"/>
      <c r="B72" s="218"/>
      <c r="C72" s="468"/>
      <c r="D72" s="177"/>
      <c r="E72" s="177"/>
      <c r="F72" s="177"/>
      <c r="G72" s="177"/>
      <c r="H72" s="177"/>
      <c r="I72" s="177"/>
      <c r="J72" s="177"/>
      <c r="K72" s="177"/>
      <c r="L72" s="177"/>
      <c r="M72" s="177"/>
      <c r="N72" s="467">
        <f t="shared" si="4"/>
        <v>0</v>
      </c>
    </row>
    <row r="73" spans="1:14" ht="15" x14ac:dyDescent="0.25">
      <c r="A73" s="218"/>
      <c r="B73" s="218"/>
      <c r="C73" s="468"/>
      <c r="D73" s="177"/>
      <c r="E73" s="177"/>
      <c r="F73" s="177"/>
      <c r="G73" s="177"/>
      <c r="H73" s="177"/>
      <c r="I73" s="177"/>
      <c r="J73" s="177"/>
      <c r="K73" s="177"/>
      <c r="L73" s="177"/>
      <c r="M73" s="177"/>
      <c r="N73" s="467">
        <f t="shared" si="4"/>
        <v>0</v>
      </c>
    </row>
    <row r="74" spans="1:14" ht="15" x14ac:dyDescent="0.25">
      <c r="A74" s="218"/>
      <c r="B74" s="218"/>
      <c r="C74" s="468"/>
      <c r="D74" s="177"/>
      <c r="E74" s="177"/>
      <c r="F74" s="177"/>
      <c r="G74" s="177"/>
      <c r="H74" s="177"/>
      <c r="I74" s="177"/>
      <c r="J74" s="177"/>
      <c r="K74" s="177"/>
      <c r="L74" s="177"/>
      <c r="M74" s="177"/>
      <c r="N74" s="467">
        <f t="shared" si="4"/>
        <v>0</v>
      </c>
    </row>
    <row r="75" spans="1:14" ht="15" x14ac:dyDescent="0.25">
      <c r="A75" s="218"/>
      <c r="B75" s="218"/>
      <c r="C75" s="468"/>
      <c r="D75" s="177"/>
      <c r="E75" s="177"/>
      <c r="F75" s="177"/>
      <c r="G75" s="177"/>
      <c r="H75" s="177"/>
      <c r="I75" s="177"/>
      <c r="J75" s="177"/>
      <c r="K75" s="177"/>
      <c r="L75" s="177"/>
      <c r="M75" s="177"/>
      <c r="N75" s="467">
        <f t="shared" si="4"/>
        <v>0</v>
      </c>
    </row>
    <row r="76" spans="1:14" ht="15" x14ac:dyDescent="0.25">
      <c r="A76" s="218"/>
      <c r="B76" s="218"/>
      <c r="C76" s="468"/>
      <c r="D76" s="177"/>
      <c r="E76" s="177"/>
      <c r="F76" s="177"/>
      <c r="G76" s="177"/>
      <c r="H76" s="177"/>
      <c r="I76" s="177"/>
      <c r="J76" s="177"/>
      <c r="K76" s="177"/>
      <c r="L76" s="177"/>
      <c r="M76" s="177"/>
      <c r="N76" s="467">
        <f t="shared" si="4"/>
        <v>0</v>
      </c>
    </row>
    <row r="77" spans="1:14" ht="15" x14ac:dyDescent="0.25">
      <c r="A77" s="218"/>
      <c r="B77" s="218"/>
      <c r="C77" s="468"/>
      <c r="D77" s="177"/>
      <c r="E77" s="177"/>
      <c r="F77" s="177"/>
      <c r="G77" s="177"/>
      <c r="H77" s="177"/>
      <c r="I77" s="177"/>
      <c r="J77" s="177"/>
      <c r="K77" s="177"/>
      <c r="L77" s="177"/>
      <c r="M77" s="177"/>
      <c r="N77" s="467">
        <f t="shared" si="4"/>
        <v>0</v>
      </c>
    </row>
    <row r="78" spans="1:14" ht="15" x14ac:dyDescent="0.25">
      <c r="A78" s="218"/>
      <c r="B78" s="218"/>
      <c r="C78" s="468"/>
      <c r="D78" s="177"/>
      <c r="E78" s="177"/>
      <c r="F78" s="177"/>
      <c r="G78" s="177"/>
      <c r="H78" s="177"/>
      <c r="I78" s="177"/>
      <c r="J78" s="177"/>
      <c r="K78" s="177"/>
      <c r="L78" s="177"/>
      <c r="M78" s="177"/>
      <c r="N78" s="467">
        <f t="shared" si="4"/>
        <v>0</v>
      </c>
    </row>
    <row r="79" spans="1:14" ht="15" x14ac:dyDescent="0.25">
      <c r="A79" s="218"/>
      <c r="B79" s="218"/>
      <c r="C79" s="468"/>
      <c r="D79" s="177"/>
      <c r="E79" s="177"/>
      <c r="F79" s="177"/>
      <c r="G79" s="177"/>
      <c r="H79" s="177"/>
      <c r="I79" s="177"/>
      <c r="J79" s="177"/>
      <c r="K79" s="177"/>
      <c r="L79" s="177"/>
      <c r="M79" s="177"/>
      <c r="N79" s="467">
        <f t="shared" si="4"/>
        <v>0</v>
      </c>
    </row>
    <row r="80" spans="1:14" ht="15.75" thickBot="1" x14ac:dyDescent="0.3">
      <c r="A80" s="218"/>
      <c r="B80" s="218"/>
      <c r="C80" s="671" t="s">
        <v>651</v>
      </c>
      <c r="D80" s="649">
        <f>SUM(D65:D79)</f>
        <v>4500000</v>
      </c>
      <c r="E80" s="649">
        <f t="shared" ref="E80:N80" si="5">SUM(E65:E79)</f>
        <v>2700000</v>
      </c>
      <c r="F80" s="649">
        <f t="shared" si="5"/>
        <v>0</v>
      </c>
      <c r="G80" s="649">
        <f t="shared" si="5"/>
        <v>0</v>
      </c>
      <c r="H80" s="649">
        <f t="shared" si="5"/>
        <v>0</v>
      </c>
      <c r="I80" s="649">
        <f t="shared" si="5"/>
        <v>0</v>
      </c>
      <c r="J80" s="649">
        <f t="shared" si="5"/>
        <v>0</v>
      </c>
      <c r="K80" s="649">
        <f t="shared" si="5"/>
        <v>0</v>
      </c>
      <c r="L80" s="649">
        <f t="shared" si="5"/>
        <v>0</v>
      </c>
      <c r="M80" s="649">
        <f t="shared" si="5"/>
        <v>0</v>
      </c>
      <c r="N80" s="467">
        <f t="shared" si="5"/>
        <v>7200000</v>
      </c>
    </row>
    <row r="81" spans="1:14" ht="15.75" thickBot="1" x14ac:dyDescent="0.3">
      <c r="A81" s="218"/>
      <c r="B81" s="218"/>
      <c r="C81" s="671" t="s">
        <v>591</v>
      </c>
      <c r="D81" s="649">
        <f>SUM(D80:D80)</f>
        <v>4500000</v>
      </c>
      <c r="E81" s="649">
        <f>SUM(D80:E80)</f>
        <v>7200000</v>
      </c>
      <c r="F81" s="649">
        <f>SUM(D80:F80)</f>
        <v>7200000</v>
      </c>
      <c r="G81" s="649">
        <f>SUM(D80:G80)</f>
        <v>7200000</v>
      </c>
      <c r="H81" s="649">
        <f>SUM(D80:H80)</f>
        <v>7200000</v>
      </c>
      <c r="I81" s="649">
        <f>SUM(D80:I80)</f>
        <v>7200000</v>
      </c>
      <c r="J81" s="649">
        <f>SUM(D80:J80)</f>
        <v>7200000</v>
      </c>
      <c r="K81" s="649">
        <f>SUM(D80:K80)</f>
        <v>7200000</v>
      </c>
      <c r="L81" s="649">
        <f>SUM(D80:L80)</f>
        <v>7200000</v>
      </c>
      <c r="M81" s="649">
        <f>SUM(D80:M80)</f>
        <v>7200000</v>
      </c>
      <c r="N81" s="623"/>
    </row>
    <row r="82" spans="1:14" ht="15.75" thickBot="1" x14ac:dyDescent="0.3">
      <c r="A82" s="218"/>
      <c r="B82" s="218"/>
      <c r="C82" s="627"/>
      <c r="D82" s="621"/>
      <c r="E82" s="621"/>
      <c r="F82" s="621"/>
      <c r="G82" s="621"/>
      <c r="H82" s="621"/>
      <c r="I82" s="621"/>
      <c r="J82" s="621"/>
      <c r="K82" s="622"/>
      <c r="L82" s="621"/>
      <c r="M82" s="622"/>
      <c r="N82" s="623"/>
    </row>
    <row r="83" spans="1:14" ht="17.45" customHeight="1" x14ac:dyDescent="0.25">
      <c r="A83" s="443"/>
      <c r="B83" s="443"/>
      <c r="C83" s="624" t="s">
        <v>528</v>
      </c>
      <c r="D83" s="625"/>
      <c r="E83" s="625"/>
      <c r="F83" s="625"/>
      <c r="G83" s="625"/>
      <c r="H83" s="625"/>
      <c r="I83" s="625"/>
      <c r="J83" s="625"/>
      <c r="K83" s="625"/>
      <c r="L83" s="625"/>
      <c r="M83" s="625"/>
      <c r="N83" s="626"/>
    </row>
    <row r="84" spans="1:14" ht="15" x14ac:dyDescent="0.25">
      <c r="A84" s="218"/>
      <c r="B84" s="218"/>
      <c r="C84" s="220"/>
      <c r="D84" s="177"/>
      <c r="E84" s="177"/>
      <c r="F84" s="177"/>
      <c r="G84" s="177"/>
      <c r="H84" s="177"/>
      <c r="I84" s="177"/>
      <c r="J84" s="177"/>
      <c r="K84" s="177"/>
      <c r="L84" s="177"/>
      <c r="M84" s="177"/>
      <c r="N84" s="467">
        <f>SUM(D84:M84)</f>
        <v>0</v>
      </c>
    </row>
    <row r="85" spans="1:14" ht="15" x14ac:dyDescent="0.25">
      <c r="A85" s="218"/>
      <c r="B85" s="218"/>
      <c r="C85" s="220" t="s">
        <v>954</v>
      </c>
      <c r="D85" s="177">
        <v>543944.78223569307</v>
      </c>
      <c r="E85" s="177">
        <v>577071.01947384689</v>
      </c>
      <c r="F85" s="177">
        <v>612214.644559804</v>
      </c>
      <c r="G85" s="177">
        <v>649498.51641349611</v>
      </c>
      <c r="H85" s="177">
        <v>689052.97606307804</v>
      </c>
      <c r="I85" s="177">
        <v>731016.30230531958</v>
      </c>
      <c r="J85" s="177">
        <v>775535.19511571329</v>
      </c>
      <c r="K85" s="466">
        <v>822765.28849826031</v>
      </c>
      <c r="L85" s="177">
        <v>872871.69456780446</v>
      </c>
      <c r="M85" s="466">
        <v>926029.5807669838</v>
      </c>
      <c r="N85" s="467">
        <f t="shared" ref="N85:N93" si="6">SUM(D85:M85)</f>
        <v>7200000</v>
      </c>
    </row>
    <row r="86" spans="1:14" ht="15" x14ac:dyDescent="0.25">
      <c r="A86" s="218"/>
      <c r="B86" s="218"/>
      <c r="C86" s="220"/>
      <c r="D86" s="177"/>
      <c r="E86" s="177"/>
      <c r="F86" s="177"/>
      <c r="G86" s="177"/>
      <c r="H86" s="177"/>
      <c r="I86" s="177"/>
      <c r="J86" s="177"/>
      <c r="K86" s="466"/>
      <c r="L86" s="177"/>
      <c r="M86" s="466"/>
      <c r="N86" s="467">
        <f t="shared" si="6"/>
        <v>0</v>
      </c>
    </row>
    <row r="87" spans="1:14" ht="15" x14ac:dyDescent="0.25">
      <c r="A87" s="218"/>
      <c r="B87" s="218"/>
      <c r="C87" s="220" t="s">
        <v>955</v>
      </c>
      <c r="D87" s="177">
        <v>-4500000</v>
      </c>
      <c r="E87" s="177">
        <v>-2700000</v>
      </c>
      <c r="F87" s="177"/>
      <c r="G87" s="177"/>
      <c r="H87" s="177"/>
      <c r="I87" s="177"/>
      <c r="J87" s="177"/>
      <c r="K87" s="466"/>
      <c r="L87" s="177"/>
      <c r="M87" s="466"/>
      <c r="N87" s="467">
        <f t="shared" si="6"/>
        <v>-7200000</v>
      </c>
    </row>
    <row r="88" spans="1:14" ht="15" x14ac:dyDescent="0.25">
      <c r="A88" s="218"/>
      <c r="B88" s="218"/>
      <c r="C88" s="220"/>
      <c r="D88" s="177"/>
      <c r="E88" s="177"/>
      <c r="F88" s="177"/>
      <c r="G88" s="177"/>
      <c r="H88" s="177"/>
      <c r="I88" s="177"/>
      <c r="J88" s="177"/>
      <c r="K88" s="466"/>
      <c r="L88" s="177"/>
      <c r="M88" s="466"/>
      <c r="N88" s="467">
        <f t="shared" si="6"/>
        <v>0</v>
      </c>
    </row>
    <row r="89" spans="1:14" ht="15" x14ac:dyDescent="0.25">
      <c r="A89" s="218"/>
      <c r="B89" s="218"/>
      <c r="C89" s="220"/>
      <c r="D89" s="177"/>
      <c r="E89" s="177"/>
      <c r="F89" s="177"/>
      <c r="G89" s="177"/>
      <c r="H89" s="177"/>
      <c r="I89" s="177"/>
      <c r="J89" s="177"/>
      <c r="K89" s="466"/>
      <c r="L89" s="177"/>
      <c r="M89" s="466"/>
      <c r="N89" s="467">
        <f t="shared" si="6"/>
        <v>0</v>
      </c>
    </row>
    <row r="90" spans="1:14" ht="15" x14ac:dyDescent="0.25">
      <c r="A90" s="218"/>
      <c r="B90" s="218"/>
      <c r="C90" s="220"/>
      <c r="D90" s="177"/>
      <c r="E90" s="177"/>
      <c r="F90" s="177"/>
      <c r="G90" s="177"/>
      <c r="H90" s="177"/>
      <c r="I90" s="177"/>
      <c r="J90" s="177"/>
      <c r="K90" s="466"/>
      <c r="L90" s="177"/>
      <c r="M90" s="466"/>
      <c r="N90" s="467">
        <f t="shared" si="6"/>
        <v>0</v>
      </c>
    </row>
    <row r="91" spans="1:14" ht="15" x14ac:dyDescent="0.25">
      <c r="A91" s="218"/>
      <c r="B91" s="218"/>
      <c r="C91" s="220"/>
      <c r="D91" s="177"/>
      <c r="E91" s="177"/>
      <c r="F91" s="177"/>
      <c r="G91" s="177"/>
      <c r="H91" s="177"/>
      <c r="I91" s="177"/>
      <c r="J91" s="177"/>
      <c r="K91" s="466"/>
      <c r="L91" s="177"/>
      <c r="M91" s="466"/>
      <c r="N91" s="467">
        <f t="shared" si="6"/>
        <v>0</v>
      </c>
    </row>
    <row r="92" spans="1:14" ht="15" x14ac:dyDescent="0.25">
      <c r="A92" s="218"/>
      <c r="B92" s="218"/>
      <c r="C92" s="220"/>
      <c r="D92" s="177"/>
      <c r="E92" s="177"/>
      <c r="F92" s="177"/>
      <c r="G92" s="177"/>
      <c r="H92" s="177"/>
      <c r="I92" s="177"/>
      <c r="J92" s="177"/>
      <c r="K92" s="466"/>
      <c r="L92" s="177"/>
      <c r="M92" s="466"/>
      <c r="N92" s="467">
        <f t="shared" si="6"/>
        <v>0</v>
      </c>
    </row>
    <row r="93" spans="1:14" ht="15" x14ac:dyDescent="0.25">
      <c r="A93" s="218"/>
      <c r="B93" s="218"/>
      <c r="C93" s="220"/>
      <c r="D93" s="177"/>
      <c r="E93" s="177"/>
      <c r="F93" s="177"/>
      <c r="G93" s="177"/>
      <c r="H93" s="177"/>
      <c r="I93" s="177"/>
      <c r="J93" s="177"/>
      <c r="K93" s="466"/>
      <c r="L93" s="177"/>
      <c r="M93" s="466"/>
      <c r="N93" s="467">
        <f t="shared" si="6"/>
        <v>0</v>
      </c>
    </row>
    <row r="94" spans="1:14" ht="15.75" thickBot="1" x14ac:dyDescent="0.3">
      <c r="A94" s="218"/>
      <c r="B94" s="218"/>
      <c r="C94" s="671" t="s">
        <v>651</v>
      </c>
      <c r="D94" s="649">
        <f t="shared" ref="D94:M94" si="7">SUM(D84:D93)</f>
        <v>-3956055.2177643068</v>
      </c>
      <c r="E94" s="649">
        <f t="shared" si="7"/>
        <v>-2122928.980526153</v>
      </c>
      <c r="F94" s="649">
        <f t="shared" si="7"/>
        <v>612214.644559804</v>
      </c>
      <c r="G94" s="649">
        <f t="shared" si="7"/>
        <v>649498.51641349611</v>
      </c>
      <c r="H94" s="649">
        <f t="shared" si="7"/>
        <v>689052.97606307804</v>
      </c>
      <c r="I94" s="649">
        <f t="shared" si="7"/>
        <v>731016.30230531958</v>
      </c>
      <c r="J94" s="649">
        <f t="shared" si="7"/>
        <v>775535.19511571329</v>
      </c>
      <c r="K94" s="649">
        <f t="shared" si="7"/>
        <v>822765.28849826031</v>
      </c>
      <c r="L94" s="649">
        <f t="shared" si="7"/>
        <v>872871.69456780446</v>
      </c>
      <c r="M94" s="649">
        <f t="shared" si="7"/>
        <v>926029.5807669838</v>
      </c>
      <c r="N94" s="467">
        <f>SUM(D94:M94)</f>
        <v>0</v>
      </c>
    </row>
    <row r="95" spans="1:14" ht="15.75" thickBot="1" x14ac:dyDescent="0.3">
      <c r="A95" s="218"/>
      <c r="B95" s="218"/>
      <c r="C95" s="671" t="s">
        <v>591</v>
      </c>
      <c r="D95" s="649">
        <f>SUM(D84:D93)</f>
        <v>-3956055.2177643068</v>
      </c>
      <c r="E95" s="649">
        <f>SUM(D94:E94)</f>
        <v>-6078984.1982904598</v>
      </c>
      <c r="F95" s="649">
        <f>SUM(D94:F94)</f>
        <v>-5466769.5537306555</v>
      </c>
      <c r="G95" s="649">
        <f>SUM(D94:G94)</f>
        <v>-4817271.0373171596</v>
      </c>
      <c r="H95" s="649">
        <f>SUM(D94:H94)</f>
        <v>-4128218.0612540813</v>
      </c>
      <c r="I95" s="649">
        <f>SUM(D94:I94)</f>
        <v>-3397201.758948762</v>
      </c>
      <c r="J95" s="649">
        <f>SUM(D94:J94)</f>
        <v>-2621666.5638330486</v>
      </c>
      <c r="K95" s="649">
        <f>SUM(D94:K94)</f>
        <v>-1798901.2753347883</v>
      </c>
      <c r="L95" s="649">
        <f>SUM(D94:L94)</f>
        <v>-926029.5807669838</v>
      </c>
      <c r="M95" s="649">
        <f>SUM(D94:M94)</f>
        <v>0</v>
      </c>
      <c r="N95" s="623"/>
    </row>
    <row r="96" spans="1:14" ht="15" thickBot="1" x14ac:dyDescent="0.25">
      <c r="A96" s="218"/>
      <c r="B96" s="218"/>
      <c r="C96" s="620"/>
      <c r="D96" s="621"/>
      <c r="E96" s="621"/>
      <c r="F96" s="621"/>
      <c r="G96" s="621"/>
      <c r="H96" s="621"/>
      <c r="I96" s="621"/>
      <c r="J96" s="621"/>
      <c r="K96" s="622"/>
      <c r="L96" s="621"/>
      <c r="M96" s="622"/>
      <c r="N96" s="623"/>
    </row>
    <row r="97" spans="1:14" ht="33" customHeight="1" x14ac:dyDescent="0.25">
      <c r="A97" s="218"/>
      <c r="B97" s="218"/>
      <c r="C97" s="672" t="s">
        <v>529</v>
      </c>
      <c r="D97" s="655">
        <f>D61+D80+D94</f>
        <v>967906.18939477112</v>
      </c>
      <c r="E97" s="655">
        <f t="shared" ref="E97:N97" si="8">E61+E80+E94</f>
        <v>967906.18939477159</v>
      </c>
      <c r="F97" s="655">
        <f t="shared" si="8"/>
        <v>967906.18939477135</v>
      </c>
      <c r="G97" s="655">
        <f t="shared" si="8"/>
        <v>967906.18939477135</v>
      </c>
      <c r="H97" s="655">
        <f t="shared" si="8"/>
        <v>967906.18939477135</v>
      </c>
      <c r="I97" s="655">
        <f t="shared" si="8"/>
        <v>967906.18939477135</v>
      </c>
      <c r="J97" s="655">
        <f t="shared" si="8"/>
        <v>967906.18939477135</v>
      </c>
      <c r="K97" s="655">
        <f t="shared" si="8"/>
        <v>967906.18939477135</v>
      </c>
      <c r="L97" s="655">
        <f t="shared" si="8"/>
        <v>967906.18939477135</v>
      </c>
      <c r="M97" s="655">
        <f t="shared" si="8"/>
        <v>967906.18939477135</v>
      </c>
      <c r="N97" s="655">
        <f t="shared" si="8"/>
        <v>9679061.8939477131</v>
      </c>
    </row>
    <row r="98" spans="1:14" ht="30" x14ac:dyDescent="0.25">
      <c r="A98" s="218"/>
      <c r="B98" s="218"/>
      <c r="C98" s="672" t="s">
        <v>530</v>
      </c>
      <c r="D98" s="655">
        <f t="shared" ref="D98:M98" si="9">D24-D97</f>
        <v>-123618.1893566763</v>
      </c>
      <c r="E98" s="655">
        <f t="shared" si="9"/>
        <v>-98289.549355536234</v>
      </c>
      <c r="F98" s="655">
        <f t="shared" si="9"/>
        <v>-72201.05015435745</v>
      </c>
      <c r="G98" s="655">
        <f t="shared" si="9"/>
        <v>-45329.895977146225</v>
      </c>
      <c r="H98" s="655">
        <f t="shared" si="9"/>
        <v>-17652.607174619334</v>
      </c>
      <c r="I98" s="655">
        <f t="shared" si="9"/>
        <v>10855.000291988952</v>
      </c>
      <c r="J98" s="655">
        <f t="shared" si="9"/>
        <v>40217.835982591612</v>
      </c>
      <c r="K98" s="655">
        <f t="shared" si="9"/>
        <v>70461.556743912515</v>
      </c>
      <c r="L98" s="655">
        <f t="shared" si="9"/>
        <v>101612.58912807307</v>
      </c>
      <c r="M98" s="655">
        <f t="shared" si="9"/>
        <v>133698.15248375852</v>
      </c>
      <c r="N98" s="670">
        <f>SUM(D98:M98)</f>
        <v>-246.15738801087718</v>
      </c>
    </row>
    <row r="99" spans="1:14" ht="12.75" thickBot="1" x14ac:dyDescent="0.25">
      <c r="A99" s="218"/>
      <c r="B99" s="218"/>
      <c r="C99" s="216"/>
      <c r="D99" s="357"/>
      <c r="E99" s="357"/>
      <c r="F99" s="357"/>
      <c r="G99" s="357"/>
      <c r="H99" s="357"/>
      <c r="I99" s="357"/>
      <c r="J99" s="357"/>
      <c r="K99" s="673"/>
      <c r="L99" s="357"/>
      <c r="M99" s="673"/>
      <c r="N99" s="674"/>
    </row>
    <row r="100" spans="1:14" ht="12.75" thickTop="1" x14ac:dyDescent="0.2"/>
  </sheetData>
  <sheetProtection password="C234" sheet="1"/>
  <mergeCells count="10">
    <mergeCell ref="C2:F2"/>
    <mergeCell ref="C22:N22"/>
    <mergeCell ref="C28:N28"/>
    <mergeCell ref="D18:N18"/>
    <mergeCell ref="D19:N19"/>
    <mergeCell ref="B4:N4"/>
    <mergeCell ref="B6:N6"/>
    <mergeCell ref="C7:N16"/>
    <mergeCell ref="C26:N26"/>
    <mergeCell ref="N20:N21"/>
  </mergeCells>
  <phoneticPr fontId="17" type="noConversion"/>
  <dataValidations xWindow="140" yWindow="414" count="13">
    <dataValidation allowBlank="1" showInputMessage="1" showErrorMessage="1" promptTitle="Sum of total spending" prompt="All individual spending allocations should be summed for each of the 10 years to calculate the council's total proposed spending for each year._x000a_" sqref="C97"/>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98"/>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96"/>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45:C47"/>
    <dataValidation allowBlank="1" showInputMessage="1" showErrorMessage="1" promptTitle="New projects/services" prompt="Include new projects or services to be funded by the additional SV income eg, city centre upgrade, new sports centre._x000a__x000a_Include additional rows if needed._x000a__x000a_Delete this heading and associated rows if this is not part of the council's application." sqref="C64"/>
    <dataValidation allowBlank="1" showInputMessage="1" showErrorMessage="1" promptTitle="Additional SRV income" prompt="For SVs over 3 years and longer, the council should input the cumulative additional SV income for each year.  This excludes the rate peg income._x000a__x000a_Refer to Worksheet 1 (eg, cell J35) and subtract the cumulative rate peg income (F20 in this worksheet)." sqref="F25"/>
    <dataValidation allowBlank="1" showInputMessage="1" showErrorMessage="1" promptTitle="Maintenance of current services" prompt="Include programs to be funded by the additional SV income which will be maintained at current service levels eg, roads program._x000a__x000a_Include additional rows if needed._x000a__x000a_Delete this heading and associated rows if this is not part of the council's application." sqref="C29:C31"/>
    <dataValidation allowBlank="1" showInputMessage="1" showErrorMessage="1" promptTitle="Additional SV income" prompt="The cumulative additional SV income for each year excludes the rate peg income._x000a__x000a_Refer to Worksheet 1 and subtract the cumulative rate peg income (M73) from cumulative income with the SV (J73)." sqref="F24"/>
    <dataValidation allowBlank="1" showInputMessage="1" showErrorMessage="1" promptTitle="Maintenance of current services" sqref="C27"/>
    <dataValidation allowBlank="1" showInputMessage="1" showErrorMessage="1" promptTitle="Additional SV income" prompt="The cumulative additional SV income for each year excludes the rate peg income._x000a__x000a_Refer to Worksheet 1 and subtract the cumulative rate peg income (M77) from cumulative income with the SV (J77)." sqref="J24"/>
    <dataValidation allowBlank="1" showInputMessage="1" showErrorMessage="1" promptTitle="Additional SV income" prompt="The cumulative additional SV income for each year excludes the rate peg income._x000a__x000a_Refer to Worksheet 1 and subtract the cumulative rate peg income (M76) from cumulative income with the SV (J76)." sqref="I24"/>
    <dataValidation allowBlank="1" showInputMessage="1" showErrorMessage="1" promptTitle="Additional SV income" prompt="The cumulative additional SV income for each year excludes the rate peg income._x000a__x000a_Refer to Worksheet 1 and subtract the cumulative rate peg income (M75) from cumulative income with the SV (J75)." sqref="H24"/>
    <dataValidation allowBlank="1" showInputMessage="1" showErrorMessage="1" promptTitle="Additional SV income" prompt="The cumulative additional SV income for each year excludes the rate peg income._x000a__x000a_Refer to Worksheet 1 and subtract the cumulative rate peg income (M74) from cumulative income with the SV (J74)." sqref="G24"/>
  </dataValidations>
  <printOptions horizontalCentered="1"/>
  <pageMargins left="0.11811023622047245" right="0.11811023622047245" top="0.19685039370078741" bottom="0.19685039370078741" header="0.11811023622047245" footer="0.19685039370078741"/>
  <pageSetup paperSize="9" scale="5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WK0 - IPART use only</vt:lpstr>
      <vt:lpstr>WK1 - Identification</vt:lpstr>
      <vt:lpstr>WK2 - Notional General Income</vt:lpstr>
      <vt:lpstr>WK3 - Notional GI 15-16 YIELD</vt:lpstr>
      <vt:lpstr>WK4 - PGI summary</vt:lpstr>
      <vt:lpstr>WK5a - Impact on Rates</vt:lpstr>
      <vt:lpstr>WK5b - Impact on Rates</vt:lpstr>
      <vt:lpstr>WK6 - Expenditure Program</vt:lpstr>
      <vt:lpstr>WK7 - Long Term Financial Plan</vt:lpstr>
      <vt:lpstr>Sheet1</vt:lpstr>
      <vt:lpstr>'WK0 - IPART use only'!_Table1408</vt:lpstr>
      <vt:lpstr>'WK0 - IPART use only'!_Table9034</vt:lpstr>
      <vt:lpstr>'WK0 - IPART use only'!_Table9550</vt:lpstr>
      <vt:lpstr>'WK0 - IPART use only'!_Table9658</vt:lpstr>
      <vt:lpstr>'WK0 - IPART use only'!_Toc340574452</vt:lpstr>
      <vt:lpstr>'WK0 - IPART use only'!_Toc357685633</vt:lpstr>
      <vt:lpstr>'WK0 - IPART use only'!_Toc386531200</vt:lpstr>
      <vt:lpstr>'WK0 - IPART use only'!_Toc386531201</vt:lpstr>
      <vt:lpstr>'WK0 - IPART use only'!_Toc386531203</vt:lpstr>
      <vt:lpstr>'WK0 - IPART use only'!_Toc386531205</vt:lpstr>
      <vt:lpstr>'WK0 - IPART use only'!_Toc386531207</vt:lpstr>
      <vt:lpstr>Instructions!Print_Area</vt:lpstr>
      <vt:lpstr>'WK1 - Identification'!Print_Area</vt:lpstr>
      <vt:lpstr>'WK2 - Notional General Income'!Print_Area</vt:lpstr>
      <vt:lpstr>'WK3 - Notional GI 15-16 YIELD'!Print_Area</vt:lpstr>
      <vt:lpstr>'WK4 - PGI summary'!Print_Area</vt:lpstr>
      <vt:lpstr>'WK5a - Impact on Rates'!Print_Area</vt:lpstr>
      <vt:lpstr>'WK5b - Impact on Rates'!Print_Area</vt:lpstr>
      <vt:lpstr>'WK6 - Expenditure Program'!Print_Area</vt:lpstr>
      <vt:lpstr>'WK2 - Notional General Income'!S2_Annual_Charges_Sub_Total</vt:lpstr>
      <vt:lpstr>S2_Annual_Charges_Sub_Total</vt:lpstr>
      <vt:lpstr>'WK2 - Notional General Income'!S2_Ordinary_Rates_Sub_Total</vt:lpstr>
      <vt:lpstr>S2_Ordinary_Rates_Sub_Total</vt:lpstr>
      <vt:lpstr>'WK2 - Notional General Income'!S2_Special_Rates_Sub_Total</vt:lpstr>
      <vt:lpstr>S2_Special_Rates_Sub_Total</vt:lpstr>
      <vt:lpstr>Total_First_year_Notional_General_Income_Yield</vt:lpstr>
      <vt:lpstr>Total_Prior_year_Notional_General_Income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Gokgur, Pamela</cp:lastModifiedBy>
  <cp:lastPrinted>2015-02-12T03:27:33Z</cp:lastPrinted>
  <dcterms:created xsi:type="dcterms:W3CDTF">1998-01-08T05:01:38Z</dcterms:created>
  <dcterms:modified xsi:type="dcterms:W3CDTF">2015-02-12T05:50:22Z</dcterms:modified>
</cp:coreProperties>
</file>