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5875" windowHeight="9525" activeTab="1"/>
  </bookViews>
  <sheets>
    <sheet name="Scenario 1 - Base" sheetId="1" r:id="rId1"/>
    <sheet name="Scenario 2" sheetId="2" r:id="rId2"/>
    <sheet name=" Scenario 3 - SV" sheetId="3" r:id="rId3"/>
  </sheets>
  <definedNames>
    <definedName name="_xlnm.Print_Titles" localSheetId="2">' Scenario 3 - SV'!$A:$A</definedName>
    <definedName name="_xlnm.Print_Titles" localSheetId="0">'Scenario 1 - Base'!$A:$A</definedName>
    <definedName name="_xlnm.Print_Titles" localSheetId="1">'Scenario 2'!$A:$A</definedName>
  </definedNames>
  <calcPr calcId="125725"/>
</workbook>
</file>

<file path=xl/calcChain.xml><?xml version="1.0" encoding="utf-8"?>
<calcChain xmlns="http://schemas.openxmlformats.org/spreadsheetml/2006/main">
  <c r="D144" i="3"/>
  <c r="C144"/>
  <c r="K139" i="2"/>
  <c r="J139"/>
  <c r="I139"/>
  <c r="H139"/>
  <c r="G139"/>
  <c r="F139"/>
  <c r="E139"/>
  <c r="D139"/>
  <c r="C139"/>
  <c r="B139"/>
  <c r="K132"/>
  <c r="J132"/>
  <c r="I132"/>
  <c r="H132"/>
  <c r="G132"/>
  <c r="F132"/>
  <c r="E132"/>
  <c r="D132"/>
  <c r="C132"/>
  <c r="B132"/>
  <c r="K124"/>
  <c r="K141" s="1"/>
  <c r="J124"/>
  <c r="J141" s="1"/>
  <c r="I124"/>
  <c r="I141" s="1"/>
  <c r="H124"/>
  <c r="H141" s="1"/>
  <c r="G124"/>
  <c r="G141" s="1"/>
  <c r="F124"/>
  <c r="F141" s="1"/>
  <c r="E124"/>
  <c r="E141" s="1"/>
  <c r="D124"/>
  <c r="D141" s="1"/>
  <c r="C124"/>
  <c r="C141" s="1"/>
  <c r="B124"/>
  <c r="B141" s="1"/>
  <c r="B144" s="1"/>
  <c r="K51"/>
  <c r="J51"/>
  <c r="I51"/>
  <c r="H51"/>
  <c r="G51"/>
  <c r="F51"/>
  <c r="E51"/>
  <c r="D51"/>
  <c r="C51"/>
  <c r="B51"/>
  <c r="K43"/>
  <c r="J43"/>
  <c r="I43"/>
  <c r="H43"/>
  <c r="G43"/>
  <c r="F43"/>
  <c r="E43"/>
  <c r="D43"/>
  <c r="C43"/>
  <c r="B43"/>
  <c r="K22"/>
  <c r="J22"/>
  <c r="I22"/>
  <c r="H22"/>
  <c r="G22"/>
  <c r="F22"/>
  <c r="E22"/>
  <c r="D22"/>
  <c r="C22"/>
  <c r="B22"/>
  <c r="K12"/>
  <c r="K37" s="1"/>
  <c r="J12"/>
  <c r="J53" s="1"/>
  <c r="I12"/>
  <c r="I37" s="1"/>
  <c r="H12"/>
  <c r="H53" s="1"/>
  <c r="H49" s="1"/>
  <c r="G12"/>
  <c r="G37" s="1"/>
  <c r="F12"/>
  <c r="F53" s="1"/>
  <c r="E12"/>
  <c r="E37" s="1"/>
  <c r="D12"/>
  <c r="D53" s="1"/>
  <c r="C12"/>
  <c r="C37" s="1"/>
  <c r="B12"/>
  <c r="B53" s="1"/>
  <c r="B49" s="1"/>
  <c r="K138" i="1"/>
  <c r="J138"/>
  <c r="I138"/>
  <c r="H138"/>
  <c r="G138"/>
  <c r="F138"/>
  <c r="E138"/>
  <c r="D138"/>
  <c r="C138"/>
  <c r="B138"/>
  <c r="K131"/>
  <c r="J131"/>
  <c r="I131"/>
  <c r="H131"/>
  <c r="G131"/>
  <c r="F131"/>
  <c r="E131"/>
  <c r="D131"/>
  <c r="C131"/>
  <c r="B131"/>
  <c r="K123"/>
  <c r="K140" s="1"/>
  <c r="J123"/>
  <c r="J140" s="1"/>
  <c r="I123"/>
  <c r="I140" s="1"/>
  <c r="H123"/>
  <c r="H140" s="1"/>
  <c r="G123"/>
  <c r="G140" s="1"/>
  <c r="F123"/>
  <c r="F140" s="1"/>
  <c r="E123"/>
  <c r="E140" s="1"/>
  <c r="D123"/>
  <c r="D140" s="1"/>
  <c r="C123"/>
  <c r="C140" s="1"/>
  <c r="B123"/>
  <c r="B140" s="1"/>
  <c r="B143" s="1"/>
  <c r="B151" s="1"/>
  <c r="K52"/>
  <c r="J52"/>
  <c r="I52"/>
  <c r="H52"/>
  <c r="G52"/>
  <c r="F52"/>
  <c r="E52"/>
  <c r="D52"/>
  <c r="C52"/>
  <c r="B52"/>
  <c r="K44"/>
  <c r="J44"/>
  <c r="I44"/>
  <c r="H44"/>
  <c r="G44"/>
  <c r="F44"/>
  <c r="E44"/>
  <c r="D44"/>
  <c r="C44"/>
  <c r="B44"/>
  <c r="K22"/>
  <c r="J22"/>
  <c r="I22"/>
  <c r="H22"/>
  <c r="G22"/>
  <c r="F22"/>
  <c r="E22"/>
  <c r="D22"/>
  <c r="C22"/>
  <c r="B22"/>
  <c r="K12"/>
  <c r="K24" s="1"/>
  <c r="J12"/>
  <c r="J54" s="1"/>
  <c r="I12"/>
  <c r="I24" s="1"/>
  <c r="H12"/>
  <c r="H54" s="1"/>
  <c r="G12"/>
  <c r="G24" s="1"/>
  <c r="F12"/>
  <c r="F54" s="1"/>
  <c r="E12"/>
  <c r="D12"/>
  <c r="C12"/>
  <c r="B12"/>
  <c r="B54" s="1"/>
  <c r="B102" i="2"/>
  <c r="B104" s="1"/>
  <c r="B106" s="1"/>
  <c r="K96"/>
  <c r="J96"/>
  <c r="I96"/>
  <c r="H96"/>
  <c r="G96"/>
  <c r="F96"/>
  <c r="E96"/>
  <c r="D96"/>
  <c r="C96"/>
  <c r="B96"/>
  <c r="K90"/>
  <c r="K97" s="1"/>
  <c r="J90"/>
  <c r="J97" s="1"/>
  <c r="I90"/>
  <c r="I97" s="1"/>
  <c r="H90"/>
  <c r="H97" s="1"/>
  <c r="G90"/>
  <c r="G97" s="1"/>
  <c r="F90"/>
  <c r="F97" s="1"/>
  <c r="E90"/>
  <c r="E97" s="1"/>
  <c r="D90"/>
  <c r="D97" s="1"/>
  <c r="C90"/>
  <c r="C97" s="1"/>
  <c r="B90"/>
  <c r="B97" s="1"/>
  <c r="K82"/>
  <c r="J82"/>
  <c r="I82"/>
  <c r="H82"/>
  <c r="G82"/>
  <c r="F82"/>
  <c r="E82"/>
  <c r="D82"/>
  <c r="C82"/>
  <c r="B82"/>
  <c r="K72"/>
  <c r="K83" s="1"/>
  <c r="K99" s="1"/>
  <c r="J72"/>
  <c r="J83" s="1"/>
  <c r="J99" s="1"/>
  <c r="I72"/>
  <c r="I83" s="1"/>
  <c r="I99" s="1"/>
  <c r="H72"/>
  <c r="H83" s="1"/>
  <c r="H99" s="1"/>
  <c r="G72"/>
  <c r="G83" s="1"/>
  <c r="G99" s="1"/>
  <c r="F72"/>
  <c r="F83" s="1"/>
  <c r="F99" s="1"/>
  <c r="E72"/>
  <c r="E83" s="1"/>
  <c r="E99" s="1"/>
  <c r="D72"/>
  <c r="D83" s="1"/>
  <c r="D99" s="1"/>
  <c r="C72"/>
  <c r="C83" s="1"/>
  <c r="C99" s="1"/>
  <c r="B72"/>
  <c r="B83" s="1"/>
  <c r="B99" s="1"/>
  <c r="B41" l="1"/>
  <c r="B24"/>
  <c r="B37"/>
  <c r="B45"/>
  <c r="B50" i="1"/>
  <c r="C142"/>
  <c r="B24"/>
  <c r="B28" s="1"/>
  <c r="B38"/>
  <c r="B46"/>
  <c r="B42" s="1"/>
  <c r="C143"/>
  <c r="C143" i="2"/>
  <c r="C144" s="1"/>
  <c r="B152"/>
  <c r="B35"/>
  <c r="B33" s="1"/>
  <c r="B28"/>
  <c r="K45"/>
  <c r="K41" s="1"/>
  <c r="K53"/>
  <c r="K49" s="1"/>
  <c r="K24"/>
  <c r="J49"/>
  <c r="J45"/>
  <c r="J41" s="1"/>
  <c r="J24"/>
  <c r="J37"/>
  <c r="I45"/>
  <c r="I41" s="1"/>
  <c r="I53"/>
  <c r="I49" s="1"/>
  <c r="I24"/>
  <c r="H37"/>
  <c r="H24"/>
  <c r="H28" s="1"/>
  <c r="H45"/>
  <c r="H41" s="1"/>
  <c r="G45"/>
  <c r="G41" s="1"/>
  <c r="G53"/>
  <c r="G49" s="1"/>
  <c r="G24"/>
  <c r="F49"/>
  <c r="F24"/>
  <c r="F37"/>
  <c r="F45"/>
  <c r="F41" s="1"/>
  <c r="E45"/>
  <c r="E41" s="1"/>
  <c r="E53"/>
  <c r="E49" s="1"/>
  <c r="E24"/>
  <c r="D49"/>
  <c r="D24"/>
  <c r="D37"/>
  <c r="D45"/>
  <c r="D41" s="1"/>
  <c r="C45"/>
  <c r="C41" s="1"/>
  <c r="C53"/>
  <c r="C49" s="1"/>
  <c r="C24"/>
  <c r="K36" i="1"/>
  <c r="K28"/>
  <c r="K38"/>
  <c r="K46"/>
  <c r="K42" s="1"/>
  <c r="K54"/>
  <c r="K50" s="1"/>
  <c r="J50"/>
  <c r="J24"/>
  <c r="J38"/>
  <c r="J46"/>
  <c r="J42" s="1"/>
  <c r="I36"/>
  <c r="I28"/>
  <c r="I38"/>
  <c r="I46"/>
  <c r="I42" s="1"/>
  <c r="I54"/>
  <c r="I50" s="1"/>
  <c r="H50"/>
  <c r="H24"/>
  <c r="H38"/>
  <c r="H46"/>
  <c r="H42" s="1"/>
  <c r="G36"/>
  <c r="G28"/>
  <c r="G38"/>
  <c r="G46"/>
  <c r="G42" s="1"/>
  <c r="G54"/>
  <c r="G50" s="1"/>
  <c r="F50"/>
  <c r="F24"/>
  <c r="F38"/>
  <c r="F46"/>
  <c r="F42" s="1"/>
  <c r="E24"/>
  <c r="E36" s="1"/>
  <c r="E38"/>
  <c r="E46"/>
  <c r="E42" s="1"/>
  <c r="E54"/>
  <c r="E50" s="1"/>
  <c r="D24"/>
  <c r="D28" s="1"/>
  <c r="D46"/>
  <c r="D42" s="1"/>
  <c r="D38"/>
  <c r="D54"/>
  <c r="D50" s="1"/>
  <c r="D36"/>
  <c r="D34" s="1"/>
  <c r="C24"/>
  <c r="C36" s="1"/>
  <c r="C38"/>
  <c r="C46"/>
  <c r="C42" s="1"/>
  <c r="C54"/>
  <c r="C50" s="1"/>
  <c r="B36"/>
  <c r="B34" s="1"/>
  <c r="C102" i="2"/>
  <c r="C151" i="1" l="1"/>
  <c r="D142"/>
  <c r="D143" s="1"/>
  <c r="D143" i="2"/>
  <c r="D144" s="1"/>
  <c r="C152"/>
  <c r="K28"/>
  <c r="K35"/>
  <c r="K33" s="1"/>
  <c r="J28"/>
  <c r="J35"/>
  <c r="J33" s="1"/>
  <c r="I28"/>
  <c r="I35"/>
  <c r="I33" s="1"/>
  <c r="H35"/>
  <c r="H33" s="1"/>
  <c r="G28"/>
  <c r="G35"/>
  <c r="G33" s="1"/>
  <c r="F28"/>
  <c r="F35"/>
  <c r="F33" s="1"/>
  <c r="E28"/>
  <c r="E35"/>
  <c r="E33" s="1"/>
  <c r="D28"/>
  <c r="D35"/>
  <c r="D33" s="1"/>
  <c r="C28"/>
  <c r="C35"/>
  <c r="C33" s="1"/>
  <c r="K34" i="1"/>
  <c r="J36"/>
  <c r="J34" s="1"/>
  <c r="J28"/>
  <c r="I34"/>
  <c r="H36"/>
  <c r="H34" s="1"/>
  <c r="H28"/>
  <c r="G34"/>
  <c r="F36"/>
  <c r="F34" s="1"/>
  <c r="F28"/>
  <c r="E28"/>
  <c r="E34"/>
  <c r="C28"/>
  <c r="C34"/>
  <c r="D102" i="2"/>
  <c r="C104"/>
  <c r="C106" s="1"/>
  <c r="D151" i="1" l="1"/>
  <c r="E142"/>
  <c r="E143" s="1"/>
  <c r="E143" i="2"/>
  <c r="E144" s="1"/>
  <c r="D152"/>
  <c r="D104"/>
  <c r="D106" s="1"/>
  <c r="E102"/>
  <c r="F142" i="1" l="1"/>
  <c r="F143" s="1"/>
  <c r="E151"/>
  <c r="F143" i="2"/>
  <c r="F144" s="1"/>
  <c r="E152"/>
  <c r="F102"/>
  <c r="E104"/>
  <c r="E106" s="1"/>
  <c r="F151" i="1" l="1"/>
  <c r="G142"/>
  <c r="G143" s="1"/>
  <c r="G143" i="2"/>
  <c r="G144" s="1"/>
  <c r="F152"/>
  <c r="F104"/>
  <c r="F106" s="1"/>
  <c r="G102"/>
  <c r="G151" i="1" l="1"/>
  <c r="H142"/>
  <c r="H143" s="1"/>
  <c r="H143" i="2"/>
  <c r="H144" s="1"/>
  <c r="G152"/>
  <c r="H102"/>
  <c r="G104"/>
  <c r="G106" s="1"/>
  <c r="H151" i="1" l="1"/>
  <c r="I142"/>
  <c r="I143" s="1"/>
  <c r="I143" i="2"/>
  <c r="I144" s="1"/>
  <c r="H152"/>
  <c r="H104"/>
  <c r="H106" s="1"/>
  <c r="I102"/>
  <c r="I151" i="1" l="1"/>
  <c r="J142"/>
  <c r="J143" s="1"/>
  <c r="J143" i="2"/>
  <c r="J144" s="1"/>
  <c r="I152"/>
  <c r="J102"/>
  <c r="I104"/>
  <c r="I106" s="1"/>
  <c r="J151" i="1" l="1"/>
  <c r="K142"/>
  <c r="K143" s="1"/>
  <c r="K151" s="1"/>
  <c r="K143" i="2"/>
  <c r="K144" s="1"/>
  <c r="K152" s="1"/>
  <c r="J152"/>
  <c r="J104"/>
  <c r="J106" s="1"/>
  <c r="K102"/>
  <c r="K104" s="1"/>
  <c r="K106" s="1"/>
  <c r="B103" i="1" l="1"/>
  <c r="B105" s="1"/>
  <c r="B107" s="1"/>
  <c r="K97"/>
  <c r="J97"/>
  <c r="I97"/>
  <c r="H97"/>
  <c r="G97"/>
  <c r="F97"/>
  <c r="E97"/>
  <c r="D97"/>
  <c r="C97"/>
  <c r="B97"/>
  <c r="K91"/>
  <c r="K98" s="1"/>
  <c r="J91"/>
  <c r="J98" s="1"/>
  <c r="I91"/>
  <c r="I98" s="1"/>
  <c r="H91"/>
  <c r="H98" s="1"/>
  <c r="G91"/>
  <c r="G98" s="1"/>
  <c r="F91"/>
  <c r="F98" s="1"/>
  <c r="E91"/>
  <c r="E98" s="1"/>
  <c r="D91"/>
  <c r="D98" s="1"/>
  <c r="C91"/>
  <c r="C98" s="1"/>
  <c r="B91"/>
  <c r="B98" s="1"/>
  <c r="K83"/>
  <c r="J83"/>
  <c r="I83"/>
  <c r="H83"/>
  <c r="G83"/>
  <c r="F83"/>
  <c r="E83"/>
  <c r="D83"/>
  <c r="C83"/>
  <c r="B83"/>
  <c r="K73"/>
  <c r="K84" s="1"/>
  <c r="K100" s="1"/>
  <c r="J73"/>
  <c r="J84" s="1"/>
  <c r="J100" s="1"/>
  <c r="I73"/>
  <c r="I84" s="1"/>
  <c r="I100" s="1"/>
  <c r="H73"/>
  <c r="H84" s="1"/>
  <c r="H100" s="1"/>
  <c r="G73"/>
  <c r="G84" s="1"/>
  <c r="G100" s="1"/>
  <c r="F73"/>
  <c r="F84" s="1"/>
  <c r="F100" s="1"/>
  <c r="E73"/>
  <c r="E84" s="1"/>
  <c r="E100" s="1"/>
  <c r="D73"/>
  <c r="D84" s="1"/>
  <c r="D100" s="1"/>
  <c r="C73"/>
  <c r="C84" s="1"/>
  <c r="C100" s="1"/>
  <c r="B73"/>
  <c r="B84" s="1"/>
  <c r="B100" s="1"/>
  <c r="C103" l="1"/>
  <c r="D103" s="1"/>
  <c r="D105" s="1"/>
  <c r="D107" s="1"/>
  <c r="C105"/>
  <c r="C107" s="1"/>
  <c r="E103" l="1"/>
  <c r="F103" s="1"/>
  <c r="E105" l="1"/>
  <c r="E107" s="1"/>
  <c r="F105"/>
  <c r="F107" s="1"/>
  <c r="G103"/>
  <c r="H103" l="1"/>
  <c r="G105"/>
  <c r="G107" s="1"/>
  <c r="H105" l="1"/>
  <c r="H107" s="1"/>
  <c r="I103"/>
  <c r="J103" l="1"/>
  <c r="I105"/>
  <c r="I107" s="1"/>
  <c r="J105" l="1"/>
  <c r="J107" s="1"/>
  <c r="K103"/>
  <c r="K105" s="1"/>
  <c r="K107" s="1"/>
  <c r="K140" i="3" l="1"/>
  <c r="J140"/>
  <c r="I140"/>
  <c r="H140"/>
  <c r="G140"/>
  <c r="F140"/>
  <c r="E140"/>
  <c r="D140"/>
  <c r="C140"/>
  <c r="B140"/>
  <c r="K133"/>
  <c r="J133"/>
  <c r="I133"/>
  <c r="H133"/>
  <c r="G133"/>
  <c r="F133"/>
  <c r="E133"/>
  <c r="D133"/>
  <c r="C133"/>
  <c r="B133"/>
  <c r="K125"/>
  <c r="K142" s="1"/>
  <c r="J125"/>
  <c r="J142" s="1"/>
  <c r="I125"/>
  <c r="I142" s="1"/>
  <c r="H125"/>
  <c r="H142" s="1"/>
  <c r="G125"/>
  <c r="G142" s="1"/>
  <c r="F125"/>
  <c r="F142" s="1"/>
  <c r="E125"/>
  <c r="E142" s="1"/>
  <c r="D125"/>
  <c r="D142" s="1"/>
  <c r="D145" s="1"/>
  <c r="C125"/>
  <c r="C142" s="1"/>
  <c r="C145" s="1"/>
  <c r="C153" s="1"/>
  <c r="B125"/>
  <c r="B142" s="1"/>
  <c r="B145" s="1"/>
  <c r="B153" s="1"/>
  <c r="K83"/>
  <c r="J83"/>
  <c r="I83"/>
  <c r="H83"/>
  <c r="G83"/>
  <c r="F83"/>
  <c r="E83"/>
  <c r="D83"/>
  <c r="C83"/>
  <c r="B83"/>
  <c r="K73"/>
  <c r="J73"/>
  <c r="I73"/>
  <c r="H73"/>
  <c r="G73"/>
  <c r="F73"/>
  <c r="E73"/>
  <c r="D73"/>
  <c r="C73"/>
  <c r="B73"/>
  <c r="B103"/>
  <c r="B105" s="1"/>
  <c r="B107" s="1"/>
  <c r="K97"/>
  <c r="J95"/>
  <c r="J97" s="1"/>
  <c r="I95"/>
  <c r="I97" s="1"/>
  <c r="H95"/>
  <c r="H97" s="1"/>
  <c r="G95"/>
  <c r="G97" s="1"/>
  <c r="F95"/>
  <c r="F97" s="1"/>
  <c r="E95"/>
  <c r="E97" s="1"/>
  <c r="D95"/>
  <c r="D97" s="1"/>
  <c r="C95"/>
  <c r="C97" s="1"/>
  <c r="B95"/>
  <c r="B97" s="1"/>
  <c r="K91"/>
  <c r="J88"/>
  <c r="J91" s="1"/>
  <c r="I88"/>
  <c r="I91" s="1"/>
  <c r="H88"/>
  <c r="H91" s="1"/>
  <c r="G88"/>
  <c r="G91" s="1"/>
  <c r="F88"/>
  <c r="F91" s="1"/>
  <c r="E88"/>
  <c r="E91" s="1"/>
  <c r="D88"/>
  <c r="D91" s="1"/>
  <c r="C88"/>
  <c r="C91" s="1"/>
  <c r="B88"/>
  <c r="B91" s="1"/>
  <c r="K52"/>
  <c r="J52"/>
  <c r="I52"/>
  <c r="H52"/>
  <c r="G52"/>
  <c r="F52"/>
  <c r="E52"/>
  <c r="D52"/>
  <c r="C52"/>
  <c r="B52"/>
  <c r="K44"/>
  <c r="J44"/>
  <c r="I44"/>
  <c r="H44"/>
  <c r="G44"/>
  <c r="F44"/>
  <c r="E44"/>
  <c r="D44"/>
  <c r="C44"/>
  <c r="B44"/>
  <c r="K22"/>
  <c r="J22"/>
  <c r="I22"/>
  <c r="H22"/>
  <c r="G22"/>
  <c r="F22"/>
  <c r="E22"/>
  <c r="D22"/>
  <c r="C22"/>
  <c r="B22"/>
  <c r="K12"/>
  <c r="K54" s="1"/>
  <c r="K50" s="1"/>
  <c r="J12"/>
  <c r="J24" s="1"/>
  <c r="J28" s="1"/>
  <c r="I12"/>
  <c r="I54" s="1"/>
  <c r="I50" s="1"/>
  <c r="H12"/>
  <c r="H24" s="1"/>
  <c r="H28" s="1"/>
  <c r="G12"/>
  <c r="G54" s="1"/>
  <c r="G50" s="1"/>
  <c r="F12"/>
  <c r="F24" s="1"/>
  <c r="F28" s="1"/>
  <c r="E12"/>
  <c r="E54" s="1"/>
  <c r="E50" s="1"/>
  <c r="D12"/>
  <c r="D54" s="1"/>
  <c r="D50" s="1"/>
  <c r="C12"/>
  <c r="C54" s="1"/>
  <c r="C50" s="1"/>
  <c r="B12"/>
  <c r="B54" s="1"/>
  <c r="B50" s="1"/>
  <c r="D153" l="1"/>
  <c r="E144"/>
  <c r="E145" s="1"/>
  <c r="C38"/>
  <c r="E38"/>
  <c r="G38"/>
  <c r="I38"/>
  <c r="K38"/>
  <c r="C46"/>
  <c r="C42" s="1"/>
  <c r="E46"/>
  <c r="E42" s="1"/>
  <c r="G46"/>
  <c r="G42" s="1"/>
  <c r="I46"/>
  <c r="I42" s="1"/>
  <c r="K46"/>
  <c r="K42" s="1"/>
  <c r="B24"/>
  <c r="F36"/>
  <c r="H36"/>
  <c r="J36"/>
  <c r="B38"/>
  <c r="D38"/>
  <c r="F38"/>
  <c r="H38"/>
  <c r="J38"/>
  <c r="B46"/>
  <c r="B42" s="1"/>
  <c r="D46"/>
  <c r="D42" s="1"/>
  <c r="F46"/>
  <c r="F42" s="1"/>
  <c r="H46"/>
  <c r="H42" s="1"/>
  <c r="J46"/>
  <c r="J42" s="1"/>
  <c r="F54"/>
  <c r="F50" s="1"/>
  <c r="H54"/>
  <c r="H50" s="1"/>
  <c r="J54"/>
  <c r="J50" s="1"/>
  <c r="B98"/>
  <c r="D98"/>
  <c r="F98"/>
  <c r="H98"/>
  <c r="J98"/>
  <c r="C98"/>
  <c r="E98"/>
  <c r="G98"/>
  <c r="I98"/>
  <c r="C84"/>
  <c r="C100" s="1"/>
  <c r="E84"/>
  <c r="G84"/>
  <c r="G100" s="1"/>
  <c r="I84"/>
  <c r="K84"/>
  <c r="K98"/>
  <c r="C103"/>
  <c r="B84"/>
  <c r="B100" s="1"/>
  <c r="D84"/>
  <c r="D100" s="1"/>
  <c r="F84"/>
  <c r="F100" s="1"/>
  <c r="H84"/>
  <c r="H100" s="1"/>
  <c r="J84"/>
  <c r="J100" s="1"/>
  <c r="K24"/>
  <c r="I24"/>
  <c r="G24"/>
  <c r="E24"/>
  <c r="D24"/>
  <c r="C24"/>
  <c r="E153" l="1"/>
  <c r="F144"/>
  <c r="F145" s="1"/>
  <c r="K100"/>
  <c r="D28"/>
  <c r="D36"/>
  <c r="D34" s="1"/>
  <c r="G28"/>
  <c r="G36"/>
  <c r="G34" s="1"/>
  <c r="K28"/>
  <c r="K36"/>
  <c r="K34" s="1"/>
  <c r="B28"/>
  <c r="B36"/>
  <c r="B34" s="1"/>
  <c r="H34"/>
  <c r="C28"/>
  <c r="C36"/>
  <c r="C34" s="1"/>
  <c r="E28"/>
  <c r="E36"/>
  <c r="E34" s="1"/>
  <c r="I28"/>
  <c r="I36"/>
  <c r="I34" s="1"/>
  <c r="J34"/>
  <c r="F34"/>
  <c r="I100"/>
  <c r="E100"/>
  <c r="D103"/>
  <c r="C105"/>
  <c r="C107" s="1"/>
  <c r="F153" l="1"/>
  <c r="G144"/>
  <c r="G145" s="1"/>
  <c r="D105"/>
  <c r="D107" s="1"/>
  <c r="E103"/>
  <c r="G153" l="1"/>
  <c r="H144"/>
  <c r="H145" s="1"/>
  <c r="F103"/>
  <c r="E105"/>
  <c r="E107" s="1"/>
  <c r="H153" l="1"/>
  <c r="I144"/>
  <c r="I145" s="1"/>
  <c r="F105"/>
  <c r="F107" s="1"/>
  <c r="G103"/>
  <c r="I153" l="1"/>
  <c r="J144"/>
  <c r="J145" s="1"/>
  <c r="H103"/>
  <c r="G105"/>
  <c r="G107" s="1"/>
  <c r="J153" l="1"/>
  <c r="K144"/>
  <c r="K145" s="1"/>
  <c r="K153" s="1"/>
  <c r="H105"/>
  <c r="H107" s="1"/>
  <c r="I103"/>
  <c r="J103" l="1"/>
  <c r="I105"/>
  <c r="I107" s="1"/>
  <c r="J105" l="1"/>
  <c r="J107" s="1"/>
  <c r="K103"/>
  <c r="K105" s="1"/>
  <c r="K107" s="1"/>
</calcChain>
</file>

<file path=xl/sharedStrings.xml><?xml version="1.0" encoding="utf-8"?>
<sst xmlns="http://schemas.openxmlformats.org/spreadsheetml/2006/main" count="431" uniqueCount="130">
  <si>
    <t>SCENARIO 3 - FORECAST STATEMENT OF FINANCIAL PERFORMANCE GENERAL FUND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</si>
  <si>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</si>
  <si>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</si>
  <si>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</si>
  <si>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</si>
  <si>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</si>
  <si>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</si>
  <si>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</si>
  <si>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</si>
  <si>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</si>
  <si>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</si>
  <si>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REVENUES FROM ORDINARY ACTIVITIES</t>
  </si>
  <si>
    <t>Rates &amp; Annual Charges</t>
  </si>
  <si>
    <t>User Charges &amp; Fees</t>
  </si>
  <si>
    <t>Investment Revenues</t>
  </si>
  <si>
    <t>Grants &amp; Contributions - Operating</t>
  </si>
  <si>
    <t>Other Revenues</t>
  </si>
  <si>
    <t>Profit from Disposal of Assets</t>
  </si>
  <si>
    <t>Total Revenues from Ordinary Activities before Capital Grants</t>
  </si>
  <si>
    <t>EXPENSES FROM ORDINARY ACTIVITIES</t>
  </si>
  <si>
    <t>Employee Costs</t>
  </si>
  <si>
    <t>Materials &amp; Contracts</t>
  </si>
  <si>
    <t>Borrowing Costs</t>
  </si>
  <si>
    <t>Depreciation &amp; Amortisation</t>
  </si>
  <si>
    <t>Other Expenses</t>
  </si>
  <si>
    <t>Loss from Disposal of Assets</t>
  </si>
  <si>
    <t>Total Expenses from Ordinary Activities</t>
  </si>
  <si>
    <t>Surplus/(Deficit) from Ordinary Activities before Capital Grants</t>
  </si>
  <si>
    <t>Capital Grants &amp; Contributions</t>
  </si>
  <si>
    <t>NET SURPLUS/(DEFICIT) FOR YEAR</t>
  </si>
  <si>
    <t>NET CASH IN/(OUT) FLOW FROM INVESTING ACTIVITIES</t>
  </si>
  <si>
    <t>NET CASH IN/(OUT) FLOW FROM FINANCING ACTIVITIES</t>
  </si>
  <si>
    <t>Operating Balance Ratio</t>
  </si>
  <si>
    <t>Operating Result before capital grants</t>
  </si>
  <si>
    <t>Operating Revenue before Capital Grants</t>
  </si>
  <si>
    <t>Rates &amp; annual charges Ratio</t>
  </si>
  <si>
    <t>Rates &amp; annual Charges</t>
  </si>
  <si>
    <t>Own Source Operating Revenue Ratio</t>
  </si>
  <si>
    <t>Own Source Revenue</t>
  </si>
  <si>
    <t>Total Operating Reveune including capital grants</t>
  </si>
  <si>
    <t>$'000  2014/15</t>
  </si>
  <si>
    <t>$'000  2015/16</t>
  </si>
  <si>
    <t>$'000  2016/17</t>
  </si>
  <si>
    <t>$'000  2017/18</t>
  </si>
  <si>
    <t>$'000  2018/19</t>
  </si>
  <si>
    <t>$'000  2019/20</t>
  </si>
  <si>
    <t>$'000  2020/21</t>
  </si>
  <si>
    <t>$'000  2021/22</t>
  </si>
  <si>
    <t>$'000  2022/23</t>
  </si>
  <si>
    <t>$'000  2023/24</t>
  </si>
  <si>
    <t>CURRENT ASSETS</t>
  </si>
  <si>
    <t>Cash &amp; cash equivalents/Investments</t>
  </si>
  <si>
    <t>Cash/Investments - Externally Restricted</t>
  </si>
  <si>
    <t>Receivables</t>
  </si>
  <si>
    <t>Receivables - Externally Restricted</t>
  </si>
  <si>
    <t>Inventories</t>
  </si>
  <si>
    <t>Inventories - Externally Restricted (Water Fund)</t>
  </si>
  <si>
    <t>Inventories - Realisable &gt; 12 months</t>
  </si>
  <si>
    <t>Other</t>
  </si>
  <si>
    <t>Non-current assets held for sale</t>
  </si>
  <si>
    <t>TOTAL CURRENT ASSETS</t>
  </si>
  <si>
    <t>NON-CURRENT ASSETS</t>
  </si>
  <si>
    <t>Infrastructure, Property, Plant &amp; Equipment</t>
  </si>
  <si>
    <t>Equity accounted investments</t>
  </si>
  <si>
    <t>Investment Property</t>
  </si>
  <si>
    <t>Intangible Assets</t>
  </si>
  <si>
    <t>TOTAL NON-CURRENT ASSETS</t>
  </si>
  <si>
    <t>TOTAL ASSETS</t>
  </si>
  <si>
    <t>CURRENT LIABILITIES</t>
  </si>
  <si>
    <t>Payables</t>
  </si>
  <si>
    <t>Borrowings</t>
  </si>
  <si>
    <t>Provisions - Payable &gt; 12 months</t>
  </si>
  <si>
    <t>Provisions</t>
  </si>
  <si>
    <t>TOTAL CURRENT LIABILITIES</t>
  </si>
  <si>
    <t>NON-CURRENT LIABILITIES</t>
  </si>
  <si>
    <t>TOTAL NON CURRENT LIABILITIES</t>
  </si>
  <si>
    <t>TOTAL LIABILITIES</t>
  </si>
  <si>
    <t>NET ASSETS</t>
  </si>
  <si>
    <t>EQUITY</t>
  </si>
  <si>
    <t>Accumulated Surplus</t>
  </si>
  <si>
    <t>Revaluation Reserves</t>
  </si>
  <si>
    <t>Council Equity Interest</t>
  </si>
  <si>
    <t>Minority Equity Interest</t>
  </si>
  <si>
    <t>TOTAL EQUITY</t>
  </si>
  <si>
    <t>Cash on Hand</t>
  </si>
  <si>
    <t>Plus Roads Reserve</t>
  </si>
  <si>
    <t>Plus Residential Housing Reserve</t>
  </si>
  <si>
    <t>Plus Domestic Waste Management</t>
  </si>
  <si>
    <t>Plus Plant Reserve</t>
  </si>
  <si>
    <t>Plus Real Estate Development Reserve</t>
  </si>
  <si>
    <t>Plus ELE Reserve</t>
  </si>
  <si>
    <t>CASH AT THE BEGINNING OF THE PERIOD</t>
  </si>
  <si>
    <t>NET INCREASE /(DECREASE) IN CASH &amp; CASH EQUIVALENTS</t>
  </si>
  <si>
    <t>REPAYMENTS OF BORROWING &amp; ADVANCES</t>
  </si>
  <si>
    <t>PAYMENTS</t>
  </si>
  <si>
    <t>PROCEEDS FROM BORROWINGS &amp; ADVANCES</t>
  </si>
  <si>
    <t>RECEIPTS</t>
  </si>
  <si>
    <t>CASH FLOWS FROM FINANCING ACTIVITIES</t>
  </si>
  <si>
    <t>PURCHASE OF PROPERTY, PLANT &amp; EQUIPMENT</t>
  </si>
  <si>
    <t>PROCEEDS FROM SALE OF PROPERTY, PLANT &amp; EQUIPMENT</t>
  </si>
  <si>
    <t>CASH FLOWS FROM INVESTING ACTIVITIES</t>
  </si>
  <si>
    <t>NET CASH IN/(OUT) FLOW FROM OPERATING ACTIVITIES</t>
  </si>
  <si>
    <t>OTHER OPERATING PAYMENTS</t>
  </si>
  <si>
    <t>BORROWING COST</t>
  </si>
  <si>
    <t>MATERIAL &amp; CONTRACTS</t>
  </si>
  <si>
    <t>EMPLOYEE COSTS</t>
  </si>
  <si>
    <t>OTHER OPERATING RECEIPTS</t>
  </si>
  <si>
    <t>GRANTS &amp; CONTRIBUTIONS</t>
  </si>
  <si>
    <t>INVESTMENTS INCOME</t>
  </si>
  <si>
    <t>USER CHARGES &amp; FEES</t>
  </si>
  <si>
    <t>RATES &amp; ANNUAL CHARGES</t>
  </si>
  <si>
    <t>CASH FLOWS FROM OPERATING ACTIVITIES</t>
  </si>
  <si>
    <t>SCENARIO 3 - FORECAST STATEMENT OF CASH FLOWS - GENERAL FUND</t>
  </si>
  <si>
    <t>SCENARIO 3 - FORECAST BALANCE SHEET - GENERAL FUND</t>
  </si>
  <si>
    <t>Total Cash on Hand</t>
  </si>
  <si>
    <t>WORKING FUNDS AT THE END OF THE PERIOD</t>
  </si>
  <si>
    <t>Total Operating Revenue including capital grants</t>
  </si>
  <si>
    <t>SCENARIO 1 - FORECAST BALANCE SHEET - GENERAL FUND</t>
  </si>
  <si>
    <t>SCENARIO 1 - FORECAST STATEMENT OF FINANCIAL PERFORMANCE GENERAL FUND</t>
  </si>
  <si>
    <t>Operating Revenue</t>
  </si>
  <si>
    <t>Rates &amp; Annual Charges Ratio</t>
  </si>
  <si>
    <t>Rates and annual charges</t>
  </si>
  <si>
    <t>Operating Reveune before Capital Grants</t>
  </si>
  <si>
    <t>SCENARIO 1 - FORECAST STATEMENT OF CASH FLOWS - GENERAL FUND</t>
  </si>
  <si>
    <t>SCENARIO 2 - FORECAST STATEMENT OF FINANCIAL PERFORMANCE GENERAL FUND</t>
  </si>
  <si>
    <t>Rates and annual charges Ratio</t>
  </si>
  <si>
    <t>SCENARIO 2 - FORECAST BALANCE SHEET - GENERAL FUND</t>
  </si>
  <si>
    <t>SCENARIO 2 - FORECAST STATEMENT OF CASH FLOWS - GENERAL FUND</t>
  </si>
  <si>
    <t>$'000</t>
  </si>
  <si>
    <t>GENERAL FUND RATIOS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</si>
</sst>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indexed="8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2" fontId="1" fillId="0" borderId="0" xfId="0" applyNumberFormat="1" applyFont="1"/>
    <xf numFmtId="0" fontId="0" fillId="0" borderId="2" xfId="0" applyBorder="1"/>
    <xf numFmtId="0" fontId="0" fillId="0" borderId="3" xfId="0" applyBorder="1"/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Border="1" applyAlignment="1" applyProtection="1">
      <alignment horizontal="right"/>
    </xf>
    <xf numFmtId="0" fontId="0" fillId="0" borderId="1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0" fillId="0" borderId="6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5" fillId="0" borderId="0" xfId="0" applyFont="1"/>
    <xf numFmtId="0" fontId="5" fillId="0" borderId="0" xfId="0" applyNumberFormat="1" applyFont="1" applyFill="1" applyBorder="1" applyAlignment="1" applyProtection="1"/>
    <xf numFmtId="0" fontId="1" fillId="0" borderId="2" xfId="0" applyFont="1" applyBorder="1"/>
    <xf numFmtId="0" fontId="0" fillId="0" borderId="2" xfId="0" applyFont="1" applyBorder="1"/>
    <xf numFmtId="0" fontId="3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0" xfId="0" applyFont="1" applyBorder="1"/>
    <xf numFmtId="0" fontId="1" fillId="0" borderId="3" xfId="0" applyFont="1" applyBorder="1"/>
    <xf numFmtId="0" fontId="6" fillId="0" borderId="0" xfId="0" applyFont="1"/>
    <xf numFmtId="0" fontId="7" fillId="0" borderId="0" xfId="0" applyFont="1"/>
    <xf numFmtId="0" fontId="0" fillId="0" borderId="1" xfId="0" applyFont="1" applyBorder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0" fillId="0" borderId="0" xfId="0" applyBorder="1"/>
    <xf numFmtId="0" fontId="9" fillId="0" borderId="0" xfId="0" applyNumberFormat="1" applyFont="1" applyFill="1" applyBorder="1" applyAlignment="1" applyProtection="1"/>
    <xf numFmtId="0" fontId="1" fillId="0" borderId="0" xfId="0" applyFont="1" applyAlignment="1">
      <alignment wrapText="1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2"/>
  <sheetViews>
    <sheetView topLeftCell="A139" workbookViewId="0">
      <selection activeCell="A139" sqref="A139"/>
    </sheetView>
  </sheetViews>
  <sheetFormatPr defaultRowHeight="15"/>
  <cols>
    <col min="1" max="1" width="47" customWidth="1"/>
  </cols>
  <sheetData>
    <row r="1" spans="1:11" ht="18.75">
      <c r="A1" s="30" t="s">
        <v>118</v>
      </c>
    </row>
    <row r="3" spans="1:11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>
      <c r="A4" s="1" t="s">
        <v>11</v>
      </c>
    </row>
    <row r="5" spans="1:11">
      <c r="A5" t="s">
        <v>12</v>
      </c>
      <c r="B5">
        <v>1763827</v>
      </c>
      <c r="C5">
        <v>1815863</v>
      </c>
      <c r="D5">
        <v>1869962</v>
      </c>
      <c r="E5">
        <v>1925685</v>
      </c>
      <c r="F5">
        <v>1983079</v>
      </c>
      <c r="G5">
        <v>2042195</v>
      </c>
      <c r="H5">
        <v>2103084</v>
      </c>
      <c r="I5">
        <v>2165800</v>
      </c>
      <c r="J5">
        <v>2230398</v>
      </c>
      <c r="K5">
        <v>2296933</v>
      </c>
    </row>
    <row r="6" spans="1:11">
      <c r="A6" t="s">
        <v>13</v>
      </c>
      <c r="B6">
        <v>1753769</v>
      </c>
      <c r="C6">
        <v>1826188</v>
      </c>
      <c r="D6">
        <v>1844785</v>
      </c>
      <c r="E6">
        <v>1869079</v>
      </c>
      <c r="F6">
        <v>1893092</v>
      </c>
      <c r="G6">
        <v>1918345</v>
      </c>
      <c r="H6">
        <v>1944362</v>
      </c>
      <c r="I6">
        <v>1971165</v>
      </c>
      <c r="J6">
        <v>1999278</v>
      </c>
      <c r="K6">
        <v>2027227</v>
      </c>
    </row>
    <row r="7" spans="1:11">
      <c r="A7" t="s">
        <v>14</v>
      </c>
      <c r="B7">
        <v>111850</v>
      </c>
      <c r="C7">
        <v>103605</v>
      </c>
      <c r="D7">
        <v>95264</v>
      </c>
      <c r="E7">
        <v>86822</v>
      </c>
      <c r="F7">
        <v>83276</v>
      </c>
      <c r="G7">
        <v>79625</v>
      </c>
      <c r="H7">
        <v>80863</v>
      </c>
      <c r="I7">
        <v>81989</v>
      </c>
      <c r="J7">
        <v>82999</v>
      </c>
      <c r="K7">
        <v>78889</v>
      </c>
    </row>
    <row r="8" spans="1:11">
      <c r="A8" t="s">
        <v>15</v>
      </c>
      <c r="B8">
        <v>2916470</v>
      </c>
      <c r="C8">
        <v>3017182</v>
      </c>
      <c r="D8">
        <v>3087827</v>
      </c>
      <c r="E8">
        <v>3191180</v>
      </c>
      <c r="F8">
        <v>3268119</v>
      </c>
      <c r="G8">
        <v>3379426</v>
      </c>
      <c r="H8">
        <v>3460983</v>
      </c>
      <c r="I8">
        <v>3575575</v>
      </c>
      <c r="J8">
        <v>3665592</v>
      </c>
      <c r="K8">
        <v>3786323</v>
      </c>
    </row>
    <row r="9" spans="1:11">
      <c r="A9" t="s">
        <v>16</v>
      </c>
      <c r="B9">
        <v>248447</v>
      </c>
      <c r="C9">
        <v>110026</v>
      </c>
      <c r="D9">
        <v>112000</v>
      </c>
      <c r="E9">
        <v>114033</v>
      </c>
      <c r="F9">
        <v>116127</v>
      </c>
      <c r="G9">
        <v>118284</v>
      </c>
      <c r="H9">
        <v>120841</v>
      </c>
      <c r="I9">
        <v>123129</v>
      </c>
      <c r="J9">
        <v>125486</v>
      </c>
      <c r="K9">
        <v>127914</v>
      </c>
    </row>
    <row r="10" spans="1:11">
      <c r="A10" t="s">
        <v>17</v>
      </c>
      <c r="B10">
        <v>24598</v>
      </c>
      <c r="C10">
        <v>25336</v>
      </c>
      <c r="D10">
        <v>26096</v>
      </c>
      <c r="E10">
        <v>26879</v>
      </c>
      <c r="F10">
        <v>27685</v>
      </c>
      <c r="G10">
        <v>28516</v>
      </c>
      <c r="H10">
        <v>29371</v>
      </c>
      <c r="I10">
        <v>30252</v>
      </c>
      <c r="J10">
        <v>31160</v>
      </c>
      <c r="K10">
        <v>32095</v>
      </c>
    </row>
    <row r="12" spans="1:11" ht="30">
      <c r="A12" s="36" t="s">
        <v>18</v>
      </c>
      <c r="B12" s="5">
        <f>SUM(B5:B11)</f>
        <v>6818961</v>
      </c>
      <c r="C12" s="5">
        <f t="shared" ref="C12:K12" si="0">SUM(C5:C11)</f>
        <v>6898200</v>
      </c>
      <c r="D12" s="5">
        <f t="shared" si="0"/>
        <v>7035934</v>
      </c>
      <c r="E12" s="5">
        <f t="shared" si="0"/>
        <v>7213678</v>
      </c>
      <c r="F12" s="5">
        <f t="shared" si="0"/>
        <v>7371378</v>
      </c>
      <c r="G12" s="5">
        <f t="shared" si="0"/>
        <v>7566391</v>
      </c>
      <c r="H12" s="5">
        <f t="shared" si="0"/>
        <v>7739504</v>
      </c>
      <c r="I12" s="5">
        <f t="shared" si="0"/>
        <v>7947910</v>
      </c>
      <c r="J12" s="5">
        <f t="shared" si="0"/>
        <v>8134913</v>
      </c>
      <c r="K12" s="5">
        <f t="shared" si="0"/>
        <v>8349381</v>
      </c>
    </row>
    <row r="14" spans="1:11">
      <c r="A14" s="1" t="s">
        <v>19</v>
      </c>
    </row>
    <row r="15" spans="1:11">
      <c r="A15" t="s">
        <v>20</v>
      </c>
      <c r="B15">
        <v>3117943</v>
      </c>
      <c r="C15">
        <v>3186691</v>
      </c>
      <c r="D15">
        <v>3282362</v>
      </c>
      <c r="E15">
        <v>3381044</v>
      </c>
      <c r="F15">
        <v>3487825</v>
      </c>
      <c r="G15">
        <v>3597800</v>
      </c>
      <c r="H15">
        <v>3711062</v>
      </c>
      <c r="I15">
        <v>3827711</v>
      </c>
      <c r="J15">
        <v>3947847</v>
      </c>
      <c r="K15">
        <v>4071575</v>
      </c>
    </row>
    <row r="16" spans="1:11">
      <c r="A16" t="s">
        <v>21</v>
      </c>
      <c r="B16">
        <v>1267476</v>
      </c>
      <c r="C16">
        <v>1272951</v>
      </c>
      <c r="D16">
        <v>1301147</v>
      </c>
      <c r="E16">
        <v>1285872</v>
      </c>
      <c r="F16">
        <v>1409933</v>
      </c>
      <c r="G16">
        <v>1403699</v>
      </c>
      <c r="H16">
        <v>1419272</v>
      </c>
      <c r="I16">
        <v>1403918</v>
      </c>
      <c r="J16">
        <v>1416455</v>
      </c>
      <c r="K16">
        <v>1474596</v>
      </c>
    </row>
    <row r="17" spans="1:11">
      <c r="A17" t="s">
        <v>22</v>
      </c>
      <c r="B17">
        <v>58524</v>
      </c>
      <c r="C17">
        <v>48983</v>
      </c>
      <c r="D17">
        <v>38295</v>
      </c>
      <c r="E17">
        <v>28273</v>
      </c>
      <c r="F17">
        <v>19343</v>
      </c>
      <c r="G17">
        <v>11339</v>
      </c>
      <c r="H17">
        <v>6166</v>
      </c>
      <c r="I17">
        <v>2867</v>
      </c>
      <c r="J17">
        <v>1617</v>
      </c>
      <c r="K17">
        <v>393</v>
      </c>
    </row>
    <row r="18" spans="1:11">
      <c r="A18" t="s">
        <v>23</v>
      </c>
      <c r="B18">
        <v>2659035</v>
      </c>
      <c r="C18">
        <v>2665508</v>
      </c>
      <c r="D18">
        <v>2671036</v>
      </c>
      <c r="E18">
        <v>2676620</v>
      </c>
      <c r="F18">
        <v>2682260</v>
      </c>
      <c r="G18">
        <v>2687957</v>
      </c>
      <c r="H18">
        <v>2693712</v>
      </c>
      <c r="I18">
        <v>2699524</v>
      </c>
      <c r="J18">
        <v>2705396</v>
      </c>
      <c r="K18">
        <v>2711327</v>
      </c>
    </row>
    <row r="19" spans="1:11">
      <c r="A19" t="s">
        <v>24</v>
      </c>
      <c r="B19">
        <v>660319</v>
      </c>
      <c r="C19">
        <v>679863</v>
      </c>
      <c r="D19">
        <v>699993</v>
      </c>
      <c r="E19">
        <v>720728</v>
      </c>
      <c r="F19">
        <v>742084</v>
      </c>
      <c r="G19">
        <v>764081</v>
      </c>
      <c r="H19">
        <v>786738</v>
      </c>
      <c r="I19">
        <v>810075</v>
      </c>
      <c r="J19">
        <v>834111</v>
      </c>
      <c r="K19">
        <v>858869</v>
      </c>
    </row>
    <row r="20" spans="1:11">
      <c r="A20" t="s">
        <v>25</v>
      </c>
      <c r="B20">
        <v>24598</v>
      </c>
      <c r="C20">
        <v>25336</v>
      </c>
      <c r="D20">
        <v>26096</v>
      </c>
      <c r="E20">
        <v>26879</v>
      </c>
      <c r="F20">
        <v>27685</v>
      </c>
      <c r="G20">
        <v>28516</v>
      </c>
      <c r="H20">
        <v>29371</v>
      </c>
      <c r="I20">
        <v>30252</v>
      </c>
      <c r="J20">
        <v>31160</v>
      </c>
      <c r="K20">
        <v>32095</v>
      </c>
    </row>
    <row r="22" spans="1:11">
      <c r="A22" s="1" t="s">
        <v>26</v>
      </c>
      <c r="B22" s="24">
        <f>SUM(B15:B21)</f>
        <v>7787895</v>
      </c>
      <c r="C22" s="24">
        <f t="shared" ref="C22:K22" si="1">SUM(C15:C21)</f>
        <v>7879332</v>
      </c>
      <c r="D22" s="24">
        <f t="shared" si="1"/>
        <v>8018929</v>
      </c>
      <c r="E22" s="24">
        <f t="shared" si="1"/>
        <v>8119416</v>
      </c>
      <c r="F22" s="24">
        <f t="shared" si="1"/>
        <v>8369130</v>
      </c>
      <c r="G22" s="24">
        <f t="shared" si="1"/>
        <v>8493392</v>
      </c>
      <c r="H22" s="24">
        <f t="shared" si="1"/>
        <v>8646321</v>
      </c>
      <c r="I22" s="24">
        <f t="shared" si="1"/>
        <v>8774347</v>
      </c>
      <c r="J22" s="24">
        <f t="shared" si="1"/>
        <v>8936586</v>
      </c>
      <c r="K22" s="24">
        <f t="shared" si="1"/>
        <v>9148855</v>
      </c>
    </row>
    <row r="24" spans="1:11" ht="30">
      <c r="A24" s="36" t="s">
        <v>27</v>
      </c>
      <c r="B24" s="23">
        <f>B12-B22</f>
        <v>-968934</v>
      </c>
      <c r="C24" s="23">
        <f t="shared" ref="C24:K24" si="2">C12-C22</f>
        <v>-981132</v>
      </c>
      <c r="D24" s="23">
        <f t="shared" si="2"/>
        <v>-982995</v>
      </c>
      <c r="E24" s="23">
        <f t="shared" si="2"/>
        <v>-905738</v>
      </c>
      <c r="F24" s="23">
        <f t="shared" si="2"/>
        <v>-997752</v>
      </c>
      <c r="G24" s="23">
        <f t="shared" si="2"/>
        <v>-927001</v>
      </c>
      <c r="H24" s="23">
        <f t="shared" si="2"/>
        <v>-906817</v>
      </c>
      <c r="I24" s="23">
        <f t="shared" si="2"/>
        <v>-826437</v>
      </c>
      <c r="J24" s="23">
        <f t="shared" si="2"/>
        <v>-801673</v>
      </c>
      <c r="K24" s="23">
        <f t="shared" si="2"/>
        <v>-799474</v>
      </c>
    </row>
    <row r="26" spans="1:11">
      <c r="A26" t="s">
        <v>28</v>
      </c>
      <c r="B26">
        <v>1840800</v>
      </c>
      <c r="C26">
        <v>818472</v>
      </c>
      <c r="D26">
        <v>801957</v>
      </c>
      <c r="E26">
        <v>763312</v>
      </c>
      <c r="F26">
        <v>791093</v>
      </c>
      <c r="G26">
        <v>779108</v>
      </c>
      <c r="H26">
        <v>807364</v>
      </c>
      <c r="I26">
        <v>795867</v>
      </c>
      <c r="J26">
        <v>824625</v>
      </c>
      <c r="K26">
        <v>813646</v>
      </c>
    </row>
    <row r="28" spans="1:11" ht="15.75" thickBot="1">
      <c r="A28" s="1" t="s">
        <v>29</v>
      </c>
      <c r="B28" s="6">
        <f>SUM(B24:B27)</f>
        <v>871866</v>
      </c>
      <c r="C28" s="6">
        <f t="shared" ref="C28:K28" si="3">SUM(C24:C27)</f>
        <v>-162660</v>
      </c>
      <c r="D28" s="6">
        <f t="shared" si="3"/>
        <v>-181038</v>
      </c>
      <c r="E28" s="6">
        <f t="shared" si="3"/>
        <v>-142426</v>
      </c>
      <c r="F28" s="6">
        <f t="shared" si="3"/>
        <v>-206659</v>
      </c>
      <c r="G28" s="6">
        <f t="shared" si="3"/>
        <v>-147893</v>
      </c>
      <c r="H28" s="6">
        <f t="shared" si="3"/>
        <v>-99453</v>
      </c>
      <c r="I28" s="6">
        <f t="shared" si="3"/>
        <v>-30570</v>
      </c>
      <c r="J28" s="6">
        <f t="shared" si="3"/>
        <v>22952</v>
      </c>
      <c r="K28" s="6">
        <f t="shared" si="3"/>
        <v>14172</v>
      </c>
    </row>
    <row r="29" spans="1:11" ht="15.75" thickTop="1"/>
    <row r="32" spans="1:11" ht="15.75">
      <c r="A32" s="29" t="s">
        <v>129</v>
      </c>
    </row>
    <row r="34" spans="1:11">
      <c r="A34" s="1" t="s">
        <v>32</v>
      </c>
      <c r="B34" s="4">
        <f>B36/B38*100</f>
        <v>-14.209408148836749</v>
      </c>
      <c r="C34" s="4">
        <f t="shared" ref="C34:K34" si="4">C36/C38*100</f>
        <v>-14.223014699486821</v>
      </c>
      <c r="D34" s="4">
        <f t="shared" si="4"/>
        <v>-13.971066243657205</v>
      </c>
      <c r="E34" s="4">
        <f t="shared" si="4"/>
        <v>-12.555841832696164</v>
      </c>
      <c r="F34" s="4">
        <f t="shared" si="4"/>
        <v>-13.535488208581897</v>
      </c>
      <c r="G34" s="4">
        <f t="shared" si="4"/>
        <v>-12.251560882856834</v>
      </c>
      <c r="H34" s="4">
        <f t="shared" si="4"/>
        <v>-11.716732751866269</v>
      </c>
      <c r="I34" s="4">
        <f t="shared" si="4"/>
        <v>-10.398167568580922</v>
      </c>
      <c r="J34" s="4">
        <f t="shared" si="4"/>
        <v>-9.8547212490164302</v>
      </c>
      <c r="K34" s="4">
        <f t="shared" si="4"/>
        <v>-9.5752487519733496</v>
      </c>
    </row>
    <row r="36" spans="1:11">
      <c r="A36" t="s">
        <v>33</v>
      </c>
      <c r="B36" s="3">
        <f>B24</f>
        <v>-968934</v>
      </c>
      <c r="C36" s="3">
        <f t="shared" ref="C36:K36" si="5">C24</f>
        <v>-981132</v>
      </c>
      <c r="D36" s="3">
        <f t="shared" si="5"/>
        <v>-982995</v>
      </c>
      <c r="E36" s="3">
        <f t="shared" si="5"/>
        <v>-905738</v>
      </c>
      <c r="F36" s="3">
        <f t="shared" si="5"/>
        <v>-997752</v>
      </c>
      <c r="G36" s="3">
        <f t="shared" si="5"/>
        <v>-927001</v>
      </c>
      <c r="H36" s="3">
        <f t="shared" si="5"/>
        <v>-906817</v>
      </c>
      <c r="I36" s="3">
        <f t="shared" si="5"/>
        <v>-826437</v>
      </c>
      <c r="J36" s="3">
        <f t="shared" si="5"/>
        <v>-801673</v>
      </c>
      <c r="K36" s="3">
        <f t="shared" si="5"/>
        <v>-799474</v>
      </c>
    </row>
    <row r="38" spans="1:11">
      <c r="A38" t="s">
        <v>119</v>
      </c>
      <c r="B38">
        <f>B12</f>
        <v>6818961</v>
      </c>
      <c r="C38">
        <f t="shared" ref="C38:K38" si="6">C12</f>
        <v>6898200</v>
      </c>
      <c r="D38">
        <f t="shared" si="6"/>
        <v>7035934</v>
      </c>
      <c r="E38">
        <f t="shared" si="6"/>
        <v>7213678</v>
      </c>
      <c r="F38">
        <f t="shared" si="6"/>
        <v>7371378</v>
      </c>
      <c r="G38">
        <f t="shared" si="6"/>
        <v>7566391</v>
      </c>
      <c r="H38">
        <f t="shared" si="6"/>
        <v>7739504</v>
      </c>
      <c r="I38">
        <f t="shared" si="6"/>
        <v>7947910</v>
      </c>
      <c r="J38">
        <f t="shared" si="6"/>
        <v>8134913</v>
      </c>
      <c r="K38">
        <f t="shared" si="6"/>
        <v>8349381</v>
      </c>
    </row>
    <row r="42" spans="1:11">
      <c r="A42" s="1" t="s">
        <v>120</v>
      </c>
      <c r="B42" s="1">
        <f>B44/B46*100</f>
        <v>25.866506642287586</v>
      </c>
      <c r="C42" s="1">
        <f t="shared" ref="C42:K42" si="7">C44/C46*100</f>
        <v>26.323722130410832</v>
      </c>
      <c r="D42" s="1">
        <f t="shared" si="7"/>
        <v>26.577310133949521</v>
      </c>
      <c r="E42" s="1">
        <f t="shared" si="7"/>
        <v>26.694912082296991</v>
      </c>
      <c r="F42" s="1">
        <f t="shared" si="7"/>
        <v>26.90241905923153</v>
      </c>
      <c r="G42" s="1">
        <f t="shared" si="7"/>
        <v>26.990344538102779</v>
      </c>
      <c r="H42" s="1">
        <f t="shared" si="7"/>
        <v>27.173369249502294</v>
      </c>
      <c r="I42" s="1">
        <f t="shared" si="7"/>
        <v>27.249931113965808</v>
      </c>
      <c r="J42" s="1">
        <f t="shared" si="7"/>
        <v>27.417601147055905</v>
      </c>
      <c r="K42" s="1">
        <f t="shared" si="7"/>
        <v>27.510219021026828</v>
      </c>
    </row>
    <row r="44" spans="1:11">
      <c r="A44" t="s">
        <v>121</v>
      </c>
      <c r="B44" s="3">
        <f>B5</f>
        <v>1763827</v>
      </c>
      <c r="C44" s="3">
        <f t="shared" ref="C44:K44" si="8">C5</f>
        <v>1815863</v>
      </c>
      <c r="D44" s="3">
        <f t="shared" si="8"/>
        <v>1869962</v>
      </c>
      <c r="E44" s="3">
        <f t="shared" si="8"/>
        <v>1925685</v>
      </c>
      <c r="F44" s="3">
        <f t="shared" si="8"/>
        <v>1983079</v>
      </c>
      <c r="G44" s="3">
        <f t="shared" si="8"/>
        <v>2042195</v>
      </c>
      <c r="H44" s="3">
        <f t="shared" si="8"/>
        <v>2103084</v>
      </c>
      <c r="I44" s="3">
        <f t="shared" si="8"/>
        <v>2165800</v>
      </c>
      <c r="J44" s="3">
        <f t="shared" si="8"/>
        <v>2230398</v>
      </c>
      <c r="K44" s="3">
        <f t="shared" si="8"/>
        <v>2296933</v>
      </c>
    </row>
    <row r="46" spans="1:11">
      <c r="A46" t="s">
        <v>122</v>
      </c>
      <c r="B46">
        <f>B12</f>
        <v>6818961</v>
      </c>
      <c r="C46">
        <f t="shared" ref="C46:K46" si="9">C12</f>
        <v>6898200</v>
      </c>
      <c r="D46">
        <f t="shared" si="9"/>
        <v>7035934</v>
      </c>
      <c r="E46">
        <f t="shared" si="9"/>
        <v>7213678</v>
      </c>
      <c r="F46">
        <f t="shared" si="9"/>
        <v>7371378</v>
      </c>
      <c r="G46">
        <f t="shared" si="9"/>
        <v>7566391</v>
      </c>
      <c r="H46">
        <f t="shared" si="9"/>
        <v>7739504</v>
      </c>
      <c r="I46">
        <f t="shared" si="9"/>
        <v>7947910</v>
      </c>
      <c r="J46">
        <f t="shared" si="9"/>
        <v>8134913</v>
      </c>
      <c r="K46">
        <f t="shared" si="9"/>
        <v>8349381</v>
      </c>
    </row>
    <row r="50" spans="1:11">
      <c r="A50" s="1" t="s">
        <v>37</v>
      </c>
      <c r="B50" s="4">
        <f>B52/B54*100</f>
        <v>44.780600757919302</v>
      </c>
      <c r="C50" s="4">
        <f t="shared" ref="C50:K50" si="10">C52/C54*100</f>
        <v>49.965606935217671</v>
      </c>
      <c r="D50" s="4">
        <f t="shared" si="10"/>
        <v>50.039111286441717</v>
      </c>
      <c r="E50" s="4">
        <f t="shared" si="10"/>
        <v>50.089306868881621</v>
      </c>
      <c r="F50" s="4">
        <f t="shared" si="10"/>
        <v>49.930639876086538</v>
      </c>
      <c r="G50" s="4">
        <f t="shared" si="10"/>
        <v>49.828644158965204</v>
      </c>
      <c r="H50" s="4">
        <f t="shared" si="10"/>
        <v>49.715872527807846</v>
      </c>
      <c r="I50" s="4">
        <f t="shared" si="10"/>
        <v>49.659123282764419</v>
      </c>
      <c r="J50" s="4">
        <f t="shared" si="10"/>
        <v>49.535601054429371</v>
      </c>
      <c r="K50" s="4">
        <f t="shared" si="10"/>
        <v>49.448320953326885</v>
      </c>
    </row>
    <row r="52" spans="1:11">
      <c r="A52" t="s">
        <v>38</v>
      </c>
      <c r="B52" s="3">
        <f>B5+B6+B7+B9</f>
        <v>3877893</v>
      </c>
      <c r="C52" s="3">
        <f t="shared" ref="C52:K52" si="11">C5+C6+C7+C9</f>
        <v>3855682</v>
      </c>
      <c r="D52" s="3">
        <f t="shared" si="11"/>
        <v>3922011</v>
      </c>
      <c r="E52" s="3">
        <f t="shared" si="11"/>
        <v>3995619</v>
      </c>
      <c r="F52" s="3">
        <f t="shared" si="11"/>
        <v>4075574</v>
      </c>
      <c r="G52" s="3">
        <f t="shared" si="11"/>
        <v>4158449</v>
      </c>
      <c r="H52" s="3">
        <f t="shared" si="11"/>
        <v>4249150</v>
      </c>
      <c r="I52" s="3">
        <f t="shared" si="11"/>
        <v>4342083</v>
      </c>
      <c r="J52" s="3">
        <f t="shared" si="11"/>
        <v>4438161</v>
      </c>
      <c r="K52" s="3">
        <f t="shared" si="11"/>
        <v>4530963</v>
      </c>
    </row>
    <row r="54" spans="1:11">
      <c r="A54" t="s">
        <v>39</v>
      </c>
      <c r="B54">
        <f>B12+B26</f>
        <v>8659761</v>
      </c>
      <c r="C54">
        <f t="shared" ref="C54:K54" si="12">C12+C26</f>
        <v>7716672</v>
      </c>
      <c r="D54">
        <f t="shared" si="12"/>
        <v>7837891</v>
      </c>
      <c r="E54">
        <f t="shared" si="12"/>
        <v>7976990</v>
      </c>
      <c r="F54">
        <f t="shared" si="12"/>
        <v>8162471</v>
      </c>
      <c r="G54">
        <f t="shared" si="12"/>
        <v>8345499</v>
      </c>
      <c r="H54">
        <f t="shared" si="12"/>
        <v>8546868</v>
      </c>
      <c r="I54">
        <f t="shared" si="12"/>
        <v>8743777</v>
      </c>
      <c r="J54">
        <f t="shared" si="12"/>
        <v>8959538</v>
      </c>
      <c r="K54">
        <f t="shared" si="12"/>
        <v>9163027</v>
      </c>
    </row>
    <row r="58" spans="1:11" ht="18">
      <c r="A58" s="7" t="s">
        <v>117</v>
      </c>
      <c r="C58" s="8"/>
      <c r="D58" s="8"/>
      <c r="E58" s="8"/>
      <c r="F58" s="8"/>
      <c r="G58" s="8"/>
      <c r="H58" s="8"/>
      <c r="I58" s="8"/>
      <c r="J58" s="8"/>
      <c r="K58" s="8"/>
    </row>
    <row r="59" spans="1:11" ht="15.75" thickBot="1"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>
      <c r="B60" s="26" t="s">
        <v>128</v>
      </c>
      <c r="C60" s="26" t="s">
        <v>128</v>
      </c>
      <c r="D60" s="26" t="s">
        <v>128</v>
      </c>
      <c r="E60" s="26" t="s">
        <v>128</v>
      </c>
      <c r="F60" s="26" t="s">
        <v>128</v>
      </c>
      <c r="G60" s="26" t="s">
        <v>128</v>
      </c>
      <c r="H60" s="26" t="s">
        <v>128</v>
      </c>
      <c r="I60" s="26" t="s">
        <v>128</v>
      </c>
      <c r="J60" s="26" t="s">
        <v>128</v>
      </c>
      <c r="K60" s="26" t="s">
        <v>128</v>
      </c>
    </row>
    <row r="61" spans="1:11" ht="15.75" thickBot="1">
      <c r="B61" s="25" t="s">
        <v>1</v>
      </c>
      <c r="C61" s="25" t="s">
        <v>2</v>
      </c>
      <c r="D61" s="25" t="s">
        <v>3</v>
      </c>
      <c r="E61" s="25" t="s">
        <v>4</v>
      </c>
      <c r="F61" s="25" t="s">
        <v>5</v>
      </c>
      <c r="G61" s="25" t="s">
        <v>6</v>
      </c>
      <c r="H61" s="25" t="s">
        <v>7</v>
      </c>
      <c r="I61" s="25" t="s">
        <v>8</v>
      </c>
      <c r="J61" s="25" t="s">
        <v>9</v>
      </c>
      <c r="K61" s="25" t="s">
        <v>10</v>
      </c>
    </row>
    <row r="62" spans="1:11"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>
      <c r="A63" s="12" t="s">
        <v>50</v>
      </c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>
      <c r="A64" s="18" t="s">
        <v>51</v>
      </c>
      <c r="B64" s="8">
        <v>2000</v>
      </c>
      <c r="C64" s="8">
        <v>1989</v>
      </c>
      <c r="D64" s="8">
        <v>1874</v>
      </c>
      <c r="E64" s="8">
        <v>1657</v>
      </c>
      <c r="F64" s="8">
        <v>1392</v>
      </c>
      <c r="G64" s="8">
        <v>707</v>
      </c>
      <c r="H64" s="8">
        <v>611</v>
      </c>
      <c r="I64" s="8">
        <v>650</v>
      </c>
      <c r="J64" s="8">
        <v>725</v>
      </c>
      <c r="K64" s="8">
        <v>570</v>
      </c>
    </row>
    <row r="65" spans="1:11">
      <c r="A65" s="18" t="s">
        <v>52</v>
      </c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>
      <c r="A66" s="8" t="s">
        <v>53</v>
      </c>
      <c r="B66" s="8">
        <v>804</v>
      </c>
      <c r="C66" s="8">
        <v>804</v>
      </c>
      <c r="D66" s="8">
        <v>804</v>
      </c>
      <c r="E66" s="8">
        <v>804</v>
      </c>
      <c r="F66" s="8">
        <v>804</v>
      </c>
      <c r="G66" s="8">
        <v>804</v>
      </c>
      <c r="H66" s="8">
        <v>804</v>
      </c>
      <c r="I66" s="8">
        <v>804</v>
      </c>
      <c r="J66" s="8">
        <v>804</v>
      </c>
      <c r="K66" s="8">
        <v>804</v>
      </c>
    </row>
    <row r="67" spans="1:11">
      <c r="A67" s="18" t="s">
        <v>54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>
      <c r="A68" s="8" t="s">
        <v>55</v>
      </c>
      <c r="B68" s="8">
        <v>321</v>
      </c>
      <c r="C68" s="8">
        <v>285</v>
      </c>
      <c r="D68" s="8">
        <v>213</v>
      </c>
      <c r="E68" s="8">
        <v>213</v>
      </c>
      <c r="F68" s="8">
        <v>213</v>
      </c>
      <c r="G68" s="8">
        <v>281</v>
      </c>
      <c r="H68" s="8">
        <v>281</v>
      </c>
      <c r="I68" s="8">
        <v>281</v>
      </c>
      <c r="J68" s="8">
        <v>281</v>
      </c>
      <c r="K68" s="8">
        <v>213</v>
      </c>
    </row>
    <row r="69" spans="1:11">
      <c r="A69" s="18" t="s">
        <v>56</v>
      </c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>
      <c r="A70" s="18" t="s">
        <v>57</v>
      </c>
      <c r="B70" s="8">
        <v>72</v>
      </c>
      <c r="C70" s="8">
        <v>0</v>
      </c>
      <c r="D70" s="8">
        <v>0</v>
      </c>
      <c r="E70" s="8">
        <v>0</v>
      </c>
      <c r="F70" s="8">
        <v>0</v>
      </c>
      <c r="G70" s="8">
        <v>202</v>
      </c>
      <c r="H70" s="8">
        <v>134</v>
      </c>
      <c r="I70" s="8">
        <v>66</v>
      </c>
      <c r="J70" s="8">
        <v>0</v>
      </c>
      <c r="K70" s="8">
        <v>0</v>
      </c>
    </row>
    <row r="71" spans="1:11">
      <c r="A71" s="8" t="s">
        <v>58</v>
      </c>
      <c r="B71" s="8">
        <v>140</v>
      </c>
      <c r="C71" s="8">
        <v>140</v>
      </c>
      <c r="D71" s="8">
        <v>140</v>
      </c>
      <c r="E71" s="8">
        <v>140</v>
      </c>
      <c r="F71" s="8">
        <v>140</v>
      </c>
      <c r="G71" s="8">
        <v>140</v>
      </c>
      <c r="H71" s="8">
        <v>140</v>
      </c>
      <c r="I71" s="8">
        <v>140</v>
      </c>
      <c r="J71" s="8">
        <v>140</v>
      </c>
      <c r="K71" s="8">
        <v>140</v>
      </c>
    </row>
    <row r="72" spans="1:11">
      <c r="A72" s="8" t="s">
        <v>59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>
      <c r="A73" s="12" t="s">
        <v>60</v>
      </c>
      <c r="B73" s="12">
        <f>SUM(B64:B72)</f>
        <v>3337</v>
      </c>
      <c r="C73" s="12">
        <f t="shared" ref="C73:K73" si="13">SUM(C64:C72)</f>
        <v>3218</v>
      </c>
      <c r="D73" s="12">
        <f t="shared" si="13"/>
        <v>3031</v>
      </c>
      <c r="E73" s="12">
        <f t="shared" si="13"/>
        <v>2814</v>
      </c>
      <c r="F73" s="12">
        <f t="shared" si="13"/>
        <v>2549</v>
      </c>
      <c r="G73" s="12">
        <f t="shared" si="13"/>
        <v>2134</v>
      </c>
      <c r="H73" s="12">
        <f t="shared" si="13"/>
        <v>1970</v>
      </c>
      <c r="I73" s="12">
        <f t="shared" si="13"/>
        <v>1941</v>
      </c>
      <c r="J73" s="12">
        <f t="shared" si="13"/>
        <v>1950</v>
      </c>
      <c r="K73" s="12">
        <f t="shared" si="13"/>
        <v>1727</v>
      </c>
    </row>
    <row r="74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>
      <c r="A75" s="12" t="s">
        <v>61</v>
      </c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>
      <c r="A76" s="8" t="s">
        <v>53</v>
      </c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>
      <c r="A77" s="8" t="s">
        <v>55</v>
      </c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>
      <c r="A78" s="8" t="s">
        <v>62</v>
      </c>
      <c r="B78" s="8">
        <v>94416</v>
      </c>
      <c r="C78" s="8">
        <v>94204</v>
      </c>
      <c r="D78" s="8">
        <v>94035</v>
      </c>
      <c r="E78" s="8">
        <v>93972</v>
      </c>
      <c r="F78" s="8">
        <v>93897</v>
      </c>
      <c r="G78" s="8">
        <v>94079</v>
      </c>
      <c r="H78" s="8">
        <v>94078</v>
      </c>
      <c r="I78" s="8">
        <v>94051</v>
      </c>
      <c r="J78" s="8">
        <v>94040</v>
      </c>
      <c r="K78" s="8">
        <v>94259</v>
      </c>
    </row>
    <row r="79" spans="1:11">
      <c r="A79" s="8" t="s">
        <v>63</v>
      </c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>
      <c r="A80" s="8" t="s">
        <v>64</v>
      </c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>
      <c r="A81" s="8" t="s">
        <v>65</v>
      </c>
      <c r="B81" s="8">
        <v>160</v>
      </c>
      <c r="C81" s="8">
        <v>160</v>
      </c>
      <c r="D81" s="8">
        <v>160</v>
      </c>
      <c r="E81" s="8">
        <v>160</v>
      </c>
      <c r="F81" s="8">
        <v>160</v>
      </c>
      <c r="G81" s="8">
        <v>160</v>
      </c>
      <c r="H81" s="8">
        <v>160</v>
      </c>
      <c r="I81" s="8">
        <v>160</v>
      </c>
      <c r="J81" s="8">
        <v>160</v>
      </c>
      <c r="K81" s="8">
        <v>160</v>
      </c>
    </row>
    <row r="82" spans="1:11">
      <c r="A82" s="8" t="s">
        <v>58</v>
      </c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>
      <c r="A83" s="12" t="s">
        <v>66</v>
      </c>
      <c r="B83" s="13">
        <f t="shared" ref="B83:K83" si="14">SUM(B76:B82)</f>
        <v>94576</v>
      </c>
      <c r="C83" s="13">
        <f t="shared" si="14"/>
        <v>94364</v>
      </c>
      <c r="D83" s="13">
        <f t="shared" si="14"/>
        <v>94195</v>
      </c>
      <c r="E83" s="13">
        <f t="shared" si="14"/>
        <v>94132</v>
      </c>
      <c r="F83" s="13">
        <f t="shared" si="14"/>
        <v>94057</v>
      </c>
      <c r="G83" s="13">
        <f t="shared" si="14"/>
        <v>94239</v>
      </c>
      <c r="H83" s="13">
        <f t="shared" si="14"/>
        <v>94238</v>
      </c>
      <c r="I83" s="13">
        <f t="shared" si="14"/>
        <v>94211</v>
      </c>
      <c r="J83" s="13">
        <f t="shared" si="14"/>
        <v>94200</v>
      </c>
      <c r="K83" s="13">
        <f t="shared" si="14"/>
        <v>94419</v>
      </c>
    </row>
    <row r="84" spans="1:11" ht="15.75" thickBot="1">
      <c r="A84" s="12" t="s">
        <v>67</v>
      </c>
      <c r="B84" s="14">
        <f t="shared" ref="B84:K84" si="15">B73+B83</f>
        <v>97913</v>
      </c>
      <c r="C84" s="14">
        <f t="shared" si="15"/>
        <v>97582</v>
      </c>
      <c r="D84" s="14">
        <f t="shared" si="15"/>
        <v>97226</v>
      </c>
      <c r="E84" s="14">
        <f t="shared" si="15"/>
        <v>96946</v>
      </c>
      <c r="F84" s="14">
        <f t="shared" si="15"/>
        <v>96606</v>
      </c>
      <c r="G84" s="14">
        <f t="shared" si="15"/>
        <v>96373</v>
      </c>
      <c r="H84" s="14">
        <f t="shared" si="15"/>
        <v>96208</v>
      </c>
      <c r="I84" s="14">
        <f t="shared" si="15"/>
        <v>96152</v>
      </c>
      <c r="J84" s="14">
        <f t="shared" si="15"/>
        <v>96150</v>
      </c>
      <c r="K84" s="14">
        <f t="shared" si="15"/>
        <v>96146</v>
      </c>
    </row>
    <row r="85" spans="1:1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>
      <c r="A86" s="12" t="s">
        <v>68</v>
      </c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>
      <c r="A87" s="8" t="s">
        <v>69</v>
      </c>
      <c r="B87" s="8">
        <v>485</v>
      </c>
      <c r="C87" s="8">
        <v>485</v>
      </c>
      <c r="D87" s="8">
        <v>485</v>
      </c>
      <c r="E87" s="8">
        <v>485</v>
      </c>
      <c r="F87" s="8">
        <v>485</v>
      </c>
      <c r="G87" s="8">
        <v>485</v>
      </c>
      <c r="H87" s="8">
        <v>485</v>
      </c>
      <c r="I87" s="8">
        <v>485</v>
      </c>
      <c r="J87" s="8">
        <v>485</v>
      </c>
      <c r="K87" s="8">
        <v>485</v>
      </c>
    </row>
    <row r="88" spans="1:11">
      <c r="A88" s="8" t="s">
        <v>70</v>
      </c>
      <c r="B88" s="8">
        <v>167</v>
      </c>
      <c r="C88" s="8">
        <v>176</v>
      </c>
      <c r="D88" s="8">
        <v>135</v>
      </c>
      <c r="E88" s="8">
        <v>142</v>
      </c>
      <c r="F88" s="8">
        <v>105</v>
      </c>
      <c r="G88" s="8">
        <v>66</v>
      </c>
      <c r="H88" s="8">
        <v>25</v>
      </c>
      <c r="I88" s="8">
        <v>25</v>
      </c>
      <c r="J88" s="8">
        <v>19</v>
      </c>
      <c r="K88" s="8">
        <v>0</v>
      </c>
    </row>
    <row r="89" spans="1:11">
      <c r="A89" s="18" t="s">
        <v>71</v>
      </c>
      <c r="B89" s="8">
        <v>1490</v>
      </c>
      <c r="C89" s="8">
        <v>1490</v>
      </c>
      <c r="D89" s="8">
        <v>1490</v>
      </c>
      <c r="E89" s="8">
        <v>1490</v>
      </c>
      <c r="F89" s="8">
        <v>1490</v>
      </c>
      <c r="G89" s="8">
        <v>1490</v>
      </c>
      <c r="H89" s="8">
        <v>1490</v>
      </c>
      <c r="I89" s="8">
        <v>1490</v>
      </c>
      <c r="J89" s="8">
        <v>1490</v>
      </c>
      <c r="K89" s="8">
        <v>1490</v>
      </c>
    </row>
    <row r="90" spans="1:11">
      <c r="A90" s="8" t="s">
        <v>72</v>
      </c>
      <c r="B90" s="8">
        <v>555</v>
      </c>
      <c r="C90" s="8">
        <v>555</v>
      </c>
      <c r="D90" s="8">
        <v>555</v>
      </c>
      <c r="E90" s="8">
        <v>555</v>
      </c>
      <c r="F90" s="8">
        <v>555</v>
      </c>
      <c r="G90" s="8">
        <v>555</v>
      </c>
      <c r="H90" s="8">
        <v>555</v>
      </c>
      <c r="I90" s="8">
        <v>555</v>
      </c>
      <c r="J90" s="8">
        <v>555</v>
      </c>
      <c r="K90" s="8">
        <v>555</v>
      </c>
    </row>
    <row r="91" spans="1:11">
      <c r="A91" s="12" t="s">
        <v>73</v>
      </c>
      <c r="B91" s="15">
        <f t="shared" ref="B91:K91" si="16">SUM(B87:B90)</f>
        <v>2697</v>
      </c>
      <c r="C91" s="15">
        <f t="shared" si="16"/>
        <v>2706</v>
      </c>
      <c r="D91" s="15">
        <f t="shared" si="16"/>
        <v>2665</v>
      </c>
      <c r="E91" s="15">
        <f t="shared" si="16"/>
        <v>2672</v>
      </c>
      <c r="F91" s="15">
        <f t="shared" si="16"/>
        <v>2635</v>
      </c>
      <c r="G91" s="15">
        <f t="shared" si="16"/>
        <v>2596</v>
      </c>
      <c r="H91" s="15">
        <f t="shared" si="16"/>
        <v>2555</v>
      </c>
      <c r="I91" s="15">
        <f t="shared" si="16"/>
        <v>2555</v>
      </c>
      <c r="J91" s="15">
        <f t="shared" si="16"/>
        <v>2549</v>
      </c>
      <c r="K91" s="15">
        <f t="shared" si="16"/>
        <v>2530</v>
      </c>
    </row>
    <row r="92" spans="1:1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>
      <c r="A93" s="12" t="s">
        <v>74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>
      <c r="A94" s="8" t="s">
        <v>69</v>
      </c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>
      <c r="A95" s="8" t="s">
        <v>70</v>
      </c>
      <c r="B95" s="8">
        <v>667</v>
      </c>
      <c r="C95" s="8">
        <v>490</v>
      </c>
      <c r="D95" s="8">
        <v>355</v>
      </c>
      <c r="E95" s="8">
        <v>211</v>
      </c>
      <c r="F95" s="8">
        <v>114</v>
      </c>
      <c r="G95" s="8">
        <v>69</v>
      </c>
      <c r="H95" s="8">
        <v>44</v>
      </c>
      <c r="I95" s="8">
        <v>19</v>
      </c>
      <c r="J95" s="8">
        <v>0</v>
      </c>
      <c r="K95" s="8">
        <v>0</v>
      </c>
    </row>
    <row r="96" spans="1:11">
      <c r="A96" s="8" t="s">
        <v>72</v>
      </c>
      <c r="B96" s="8">
        <v>66</v>
      </c>
      <c r="C96" s="8">
        <v>66</v>
      </c>
      <c r="D96" s="8">
        <v>66</v>
      </c>
      <c r="E96" s="8">
        <v>66</v>
      </c>
      <c r="F96" s="8">
        <v>66</v>
      </c>
      <c r="G96" s="8">
        <v>66</v>
      </c>
      <c r="H96" s="8">
        <v>66</v>
      </c>
      <c r="I96" s="8">
        <v>66</v>
      </c>
      <c r="J96" s="8">
        <v>66</v>
      </c>
      <c r="K96" s="8">
        <v>66</v>
      </c>
    </row>
    <row r="97" spans="1:11">
      <c r="A97" s="12" t="s">
        <v>75</v>
      </c>
      <c r="B97" s="13">
        <f t="shared" ref="B97:K97" si="17">SUM(B94:B96)</f>
        <v>733</v>
      </c>
      <c r="C97" s="13">
        <f t="shared" si="17"/>
        <v>556</v>
      </c>
      <c r="D97" s="13">
        <f t="shared" si="17"/>
        <v>421</v>
      </c>
      <c r="E97" s="13">
        <f t="shared" si="17"/>
        <v>277</v>
      </c>
      <c r="F97" s="13">
        <f t="shared" si="17"/>
        <v>180</v>
      </c>
      <c r="G97" s="13">
        <f t="shared" si="17"/>
        <v>135</v>
      </c>
      <c r="H97" s="13">
        <f t="shared" si="17"/>
        <v>110</v>
      </c>
      <c r="I97" s="13">
        <f t="shared" si="17"/>
        <v>85</v>
      </c>
      <c r="J97" s="13">
        <f t="shared" si="17"/>
        <v>66</v>
      </c>
      <c r="K97" s="13">
        <f t="shared" si="17"/>
        <v>66</v>
      </c>
    </row>
    <row r="98" spans="1:11" ht="15.75" thickBot="1">
      <c r="A98" s="12" t="s">
        <v>76</v>
      </c>
      <c r="B98" s="14">
        <f t="shared" ref="B98:K98" si="18">B91+B97</f>
        <v>3430</v>
      </c>
      <c r="C98" s="14">
        <f t="shared" si="18"/>
        <v>3262</v>
      </c>
      <c r="D98" s="14">
        <f t="shared" si="18"/>
        <v>3086</v>
      </c>
      <c r="E98" s="14">
        <f t="shared" si="18"/>
        <v>2949</v>
      </c>
      <c r="F98" s="14">
        <f t="shared" si="18"/>
        <v>2815</v>
      </c>
      <c r="G98" s="14">
        <f t="shared" si="18"/>
        <v>2731</v>
      </c>
      <c r="H98" s="14">
        <f t="shared" si="18"/>
        <v>2665</v>
      </c>
      <c r="I98" s="14">
        <f t="shared" si="18"/>
        <v>2640</v>
      </c>
      <c r="J98" s="14">
        <f t="shared" si="18"/>
        <v>2615</v>
      </c>
      <c r="K98" s="14">
        <f t="shared" si="18"/>
        <v>2596</v>
      </c>
    </row>
    <row r="99" spans="1:1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ht="15.75" thickBot="1">
      <c r="A100" s="12" t="s">
        <v>77</v>
      </c>
      <c r="B100" s="16">
        <f t="shared" ref="B100:K100" si="19">B84-B98</f>
        <v>94483</v>
      </c>
      <c r="C100" s="16">
        <f t="shared" si="19"/>
        <v>94320</v>
      </c>
      <c r="D100" s="16">
        <f t="shared" si="19"/>
        <v>94140</v>
      </c>
      <c r="E100" s="16">
        <f t="shared" si="19"/>
        <v>93997</v>
      </c>
      <c r="F100" s="16">
        <f t="shared" si="19"/>
        <v>93791</v>
      </c>
      <c r="G100" s="16">
        <f t="shared" si="19"/>
        <v>93642</v>
      </c>
      <c r="H100" s="16">
        <f t="shared" si="19"/>
        <v>93543</v>
      </c>
      <c r="I100" s="16">
        <f t="shared" si="19"/>
        <v>93512</v>
      </c>
      <c r="J100" s="16">
        <f t="shared" si="19"/>
        <v>93535</v>
      </c>
      <c r="K100" s="16">
        <f t="shared" si="19"/>
        <v>93550</v>
      </c>
    </row>
    <row r="101" spans="1:1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>
      <c r="A102" s="12" t="s">
        <v>78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>
      <c r="A103" s="8" t="s">
        <v>79</v>
      </c>
      <c r="B103" s="8">
        <f>35999+872</f>
        <v>36871</v>
      </c>
      <c r="C103" s="8">
        <f>B103-163</f>
        <v>36708</v>
      </c>
      <c r="D103" s="8">
        <f>C103-180</f>
        <v>36528</v>
      </c>
      <c r="E103" s="8">
        <f>D103-143</f>
        <v>36385</v>
      </c>
      <c r="F103" s="8">
        <f>E103-206</f>
        <v>36179</v>
      </c>
      <c r="G103" s="8">
        <f>F103-149</f>
        <v>36030</v>
      </c>
      <c r="H103" s="8">
        <f>G103-99</f>
        <v>35931</v>
      </c>
      <c r="I103" s="8">
        <f>H103-31</f>
        <v>35900</v>
      </c>
      <c r="J103" s="8">
        <f>I103+23</f>
        <v>35923</v>
      </c>
      <c r="K103" s="8">
        <f>J103+15</f>
        <v>35938</v>
      </c>
    </row>
    <row r="104" spans="1:11">
      <c r="A104" s="8" t="s">
        <v>80</v>
      </c>
      <c r="B104" s="8">
        <v>57612</v>
      </c>
      <c r="C104" s="8">
        <v>57612</v>
      </c>
      <c r="D104" s="8">
        <v>57612</v>
      </c>
      <c r="E104" s="8">
        <v>57612</v>
      </c>
      <c r="F104" s="8">
        <v>57612</v>
      </c>
      <c r="G104" s="8">
        <v>57612</v>
      </c>
      <c r="H104" s="8">
        <v>57612</v>
      </c>
      <c r="I104" s="8">
        <v>57612</v>
      </c>
      <c r="J104" s="8">
        <v>57612</v>
      </c>
      <c r="K104" s="8">
        <v>57612</v>
      </c>
    </row>
    <row r="105" spans="1:11">
      <c r="A105" s="8" t="s">
        <v>81</v>
      </c>
      <c r="B105" s="17">
        <f t="shared" ref="B105:K105" si="20">SUM(B103:B104)</f>
        <v>94483</v>
      </c>
      <c r="C105" s="17">
        <f t="shared" si="20"/>
        <v>94320</v>
      </c>
      <c r="D105" s="17">
        <f t="shared" si="20"/>
        <v>94140</v>
      </c>
      <c r="E105" s="17">
        <f t="shared" si="20"/>
        <v>93997</v>
      </c>
      <c r="F105" s="17">
        <f t="shared" si="20"/>
        <v>93791</v>
      </c>
      <c r="G105" s="17">
        <f t="shared" si="20"/>
        <v>93642</v>
      </c>
      <c r="H105" s="17">
        <f t="shared" si="20"/>
        <v>93543</v>
      </c>
      <c r="I105" s="17">
        <f t="shared" si="20"/>
        <v>93512</v>
      </c>
      <c r="J105" s="17">
        <f t="shared" si="20"/>
        <v>93535</v>
      </c>
      <c r="K105" s="17">
        <f t="shared" si="20"/>
        <v>93550</v>
      </c>
    </row>
    <row r="106" spans="1:11">
      <c r="A106" s="8" t="s">
        <v>82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ht="15.75" thickBot="1">
      <c r="A107" s="12" t="s">
        <v>83</v>
      </c>
      <c r="B107" s="16">
        <f t="shared" ref="B107:K107" si="21">SUM(B105:B106)</f>
        <v>94483</v>
      </c>
      <c r="C107" s="16">
        <f t="shared" si="21"/>
        <v>94320</v>
      </c>
      <c r="D107" s="16">
        <f t="shared" si="21"/>
        <v>94140</v>
      </c>
      <c r="E107" s="16">
        <f t="shared" si="21"/>
        <v>93997</v>
      </c>
      <c r="F107" s="16">
        <f t="shared" si="21"/>
        <v>93791</v>
      </c>
      <c r="G107" s="16">
        <f t="shared" si="21"/>
        <v>93642</v>
      </c>
      <c r="H107" s="16">
        <f t="shared" si="21"/>
        <v>93543</v>
      </c>
      <c r="I107" s="16">
        <f t="shared" si="21"/>
        <v>93512</v>
      </c>
      <c r="J107" s="16">
        <f t="shared" si="21"/>
        <v>93535</v>
      </c>
      <c r="K107" s="16">
        <f t="shared" si="21"/>
        <v>93550</v>
      </c>
    </row>
    <row r="109" spans="1:11" ht="18.75">
      <c r="A109" s="30" t="s">
        <v>123</v>
      </c>
    </row>
    <row r="110" spans="1:11">
      <c r="B110" s="2" t="s">
        <v>1</v>
      </c>
      <c r="C110" s="2" t="s">
        <v>2</v>
      </c>
      <c r="D110" s="2" t="s">
        <v>3</v>
      </c>
      <c r="E110" s="2" t="s">
        <v>4</v>
      </c>
      <c r="F110" s="2" t="s">
        <v>5</v>
      </c>
      <c r="G110" s="2" t="s">
        <v>6</v>
      </c>
      <c r="H110" s="2" t="s">
        <v>7</v>
      </c>
      <c r="I110" s="2" t="s">
        <v>8</v>
      </c>
      <c r="J110" s="2" t="s">
        <v>9</v>
      </c>
      <c r="K110" s="2" t="s">
        <v>10</v>
      </c>
    </row>
    <row r="111" spans="1:11">
      <c r="A111" s="1" t="s">
        <v>111</v>
      </c>
    </row>
    <row r="112" spans="1:11">
      <c r="A112" s="21" t="s">
        <v>96</v>
      </c>
    </row>
    <row r="113" spans="1:11">
      <c r="A113" t="s">
        <v>110</v>
      </c>
      <c r="B113">
        <v>1763827</v>
      </c>
      <c r="C113">
        <v>1815863</v>
      </c>
      <c r="D113">
        <v>1869962</v>
      </c>
      <c r="E113">
        <v>1925685</v>
      </c>
      <c r="F113">
        <v>1983079</v>
      </c>
      <c r="G113">
        <v>2042195</v>
      </c>
      <c r="H113">
        <v>2103084</v>
      </c>
      <c r="I113">
        <v>2165800</v>
      </c>
      <c r="J113">
        <v>2230398</v>
      </c>
      <c r="K113">
        <v>2296933</v>
      </c>
    </row>
    <row r="114" spans="1:11">
      <c r="A114" t="s">
        <v>109</v>
      </c>
      <c r="B114">
        <v>1753769</v>
      </c>
      <c r="C114">
        <v>1826188</v>
      </c>
      <c r="D114">
        <v>1844785</v>
      </c>
      <c r="E114">
        <v>1869079</v>
      </c>
      <c r="F114">
        <v>1893092</v>
      </c>
      <c r="G114">
        <v>1918345</v>
      </c>
      <c r="H114">
        <v>1944362</v>
      </c>
      <c r="I114">
        <v>1971165</v>
      </c>
      <c r="J114">
        <v>1999278</v>
      </c>
      <c r="K114">
        <v>2027227</v>
      </c>
    </row>
    <row r="115" spans="1:11">
      <c r="A115" t="s">
        <v>108</v>
      </c>
      <c r="B115">
        <v>111850</v>
      </c>
      <c r="C115">
        <v>103606</v>
      </c>
      <c r="D115">
        <v>95264</v>
      </c>
      <c r="E115">
        <v>86822</v>
      </c>
      <c r="F115">
        <v>83276</v>
      </c>
      <c r="G115">
        <v>79625</v>
      </c>
      <c r="H115">
        <v>80863</v>
      </c>
      <c r="I115">
        <v>81989</v>
      </c>
      <c r="J115">
        <v>82999</v>
      </c>
      <c r="K115">
        <v>78889</v>
      </c>
    </row>
    <row r="116" spans="1:11">
      <c r="A116" t="s">
        <v>107</v>
      </c>
      <c r="B116">
        <v>4757270</v>
      </c>
      <c r="C116">
        <v>3835654</v>
      </c>
      <c r="D116">
        <v>3889784</v>
      </c>
      <c r="E116">
        <v>3954491</v>
      </c>
      <c r="F116">
        <v>4059212</v>
      </c>
      <c r="G116">
        <v>4158534</v>
      </c>
      <c r="H116">
        <v>4268346</v>
      </c>
      <c r="I116">
        <v>4371442</v>
      </c>
      <c r="J116">
        <v>4490216</v>
      </c>
      <c r="K116">
        <v>4599968</v>
      </c>
    </row>
    <row r="117" spans="1:11">
      <c r="A117" t="s">
        <v>106</v>
      </c>
      <c r="B117">
        <v>248447</v>
      </c>
      <c r="C117">
        <v>110026</v>
      </c>
      <c r="D117">
        <v>112000</v>
      </c>
      <c r="E117">
        <v>114033</v>
      </c>
      <c r="F117">
        <v>116127</v>
      </c>
      <c r="G117">
        <v>118284</v>
      </c>
      <c r="H117">
        <v>120841</v>
      </c>
      <c r="I117">
        <v>123129</v>
      </c>
      <c r="J117">
        <v>125486</v>
      </c>
      <c r="K117">
        <v>127914</v>
      </c>
    </row>
    <row r="118" spans="1:11">
      <c r="A118" s="21" t="s">
        <v>94</v>
      </c>
    </row>
    <row r="119" spans="1:11">
      <c r="A119" t="s">
        <v>105</v>
      </c>
      <c r="B119">
        <v>-3117943</v>
      </c>
      <c r="C119">
        <v>-3186691</v>
      </c>
      <c r="D119">
        <v>-3282362</v>
      </c>
      <c r="E119">
        <v>-3381044</v>
      </c>
      <c r="F119">
        <v>-3487825</v>
      </c>
      <c r="G119">
        <v>-3597799</v>
      </c>
      <c r="H119">
        <v>-3711062</v>
      </c>
      <c r="I119">
        <v>-3827711</v>
      </c>
      <c r="J119">
        <v>-3947847</v>
      </c>
      <c r="K119">
        <v>-4071575</v>
      </c>
    </row>
    <row r="120" spans="1:11">
      <c r="A120" t="s">
        <v>104</v>
      </c>
      <c r="B120">
        <v>-1267476</v>
      </c>
      <c r="C120">
        <v>-1272951</v>
      </c>
      <c r="D120">
        <v>-1301147</v>
      </c>
      <c r="E120">
        <v>-1285872</v>
      </c>
      <c r="F120">
        <v>-1409933</v>
      </c>
      <c r="G120">
        <v>-1403699</v>
      </c>
      <c r="H120">
        <v>-1419272</v>
      </c>
      <c r="I120">
        <v>-1403918</v>
      </c>
      <c r="J120">
        <v>-1416455</v>
      </c>
      <c r="K120">
        <v>-1474596</v>
      </c>
    </row>
    <row r="121" spans="1:11">
      <c r="A121" t="s">
        <v>103</v>
      </c>
      <c r="B121">
        <v>-58524</v>
      </c>
      <c r="C121">
        <v>-48983</v>
      </c>
      <c r="D121">
        <v>-38295</v>
      </c>
      <c r="E121">
        <v>-28273</v>
      </c>
      <c r="F121">
        <v>-19343</v>
      </c>
      <c r="G121">
        <v>-11339</v>
      </c>
      <c r="H121">
        <v>-6166</v>
      </c>
      <c r="I121">
        <v>-2867</v>
      </c>
      <c r="J121">
        <v>-1617</v>
      </c>
      <c r="K121">
        <v>-393</v>
      </c>
    </row>
    <row r="122" spans="1:11">
      <c r="A122" t="s">
        <v>102</v>
      </c>
      <c r="B122">
        <v>-660319</v>
      </c>
      <c r="C122">
        <v>-679863</v>
      </c>
      <c r="D122">
        <v>-699993</v>
      </c>
      <c r="E122">
        <v>-720728</v>
      </c>
      <c r="F122">
        <v>-742084</v>
      </c>
      <c r="G122">
        <v>-764081</v>
      </c>
      <c r="H122">
        <v>-786738</v>
      </c>
      <c r="I122">
        <v>-810075</v>
      </c>
      <c r="J122">
        <v>-834111</v>
      </c>
      <c r="K122">
        <v>-858869</v>
      </c>
    </row>
    <row r="123" spans="1:11" ht="30">
      <c r="A123" s="36" t="s">
        <v>101</v>
      </c>
      <c r="B123" s="5">
        <f>SUM(B113:B122)</f>
        <v>3530901</v>
      </c>
      <c r="C123" s="5">
        <f t="shared" ref="C123:K123" si="22">SUM(C113:C122)</f>
        <v>2502849</v>
      </c>
      <c r="D123" s="5">
        <f t="shared" si="22"/>
        <v>2489998</v>
      </c>
      <c r="E123" s="5">
        <f t="shared" si="22"/>
        <v>2534193</v>
      </c>
      <c r="F123" s="5">
        <f t="shared" si="22"/>
        <v>2475601</v>
      </c>
      <c r="G123" s="5">
        <f t="shared" si="22"/>
        <v>2540065</v>
      </c>
      <c r="H123" s="5">
        <f t="shared" si="22"/>
        <v>2594258</v>
      </c>
      <c r="I123" s="5">
        <f t="shared" si="22"/>
        <v>2668954</v>
      </c>
      <c r="J123" s="5">
        <f t="shared" si="22"/>
        <v>2728347</v>
      </c>
      <c r="K123" s="5">
        <f t="shared" si="22"/>
        <v>2725498</v>
      </c>
    </row>
    <row r="125" spans="1:11">
      <c r="A125" s="1" t="s">
        <v>100</v>
      </c>
    </row>
    <row r="126" spans="1:11">
      <c r="A126" s="21" t="s">
        <v>96</v>
      </c>
    </row>
    <row r="127" spans="1:11">
      <c r="A127" t="s">
        <v>99</v>
      </c>
      <c r="B127">
        <v>456000</v>
      </c>
      <c r="C127">
        <v>547000</v>
      </c>
      <c r="D127">
        <v>401000</v>
      </c>
      <c r="E127">
        <v>562000</v>
      </c>
      <c r="F127">
        <v>331000</v>
      </c>
      <c r="G127">
        <v>327000</v>
      </c>
      <c r="H127">
        <v>390000</v>
      </c>
      <c r="I127">
        <v>419000</v>
      </c>
      <c r="J127">
        <v>659000</v>
      </c>
      <c r="K127">
        <v>456000</v>
      </c>
    </row>
    <row r="128" spans="1:11">
      <c r="A128" s="21" t="s">
        <v>94</v>
      </c>
    </row>
    <row r="129" spans="1:11">
      <c r="A129" t="s">
        <v>98</v>
      </c>
      <c r="B129">
        <v>-3981650</v>
      </c>
      <c r="C129">
        <v>-3002722</v>
      </c>
      <c r="D129">
        <v>-2890133</v>
      </c>
      <c r="E129">
        <v>-3177292</v>
      </c>
      <c r="F129">
        <v>-2935862</v>
      </c>
      <c r="G129">
        <v>-3197689</v>
      </c>
      <c r="H129">
        <v>-3069747</v>
      </c>
      <c r="I129">
        <v>-3094011</v>
      </c>
      <c r="J129">
        <v>-3357004</v>
      </c>
      <c r="K129">
        <v>-3369746</v>
      </c>
    </row>
    <row r="131" spans="1:11" ht="30">
      <c r="A131" s="36" t="s">
        <v>30</v>
      </c>
      <c r="B131" s="5">
        <f>SUM(B126:B130)</f>
        <v>-3525650</v>
      </c>
      <c r="C131" s="5">
        <f t="shared" ref="C131:K131" si="23">SUM(C126:C130)</f>
        <v>-2455722</v>
      </c>
      <c r="D131" s="5">
        <f t="shared" si="23"/>
        <v>-2489133</v>
      </c>
      <c r="E131" s="5">
        <f t="shared" si="23"/>
        <v>-2615292</v>
      </c>
      <c r="F131" s="5">
        <f t="shared" si="23"/>
        <v>-2604862</v>
      </c>
      <c r="G131" s="5">
        <f t="shared" si="23"/>
        <v>-2870689</v>
      </c>
      <c r="H131" s="5">
        <f t="shared" si="23"/>
        <v>-2679747</v>
      </c>
      <c r="I131" s="5">
        <f t="shared" si="23"/>
        <v>-2675011</v>
      </c>
      <c r="J131" s="5">
        <f t="shared" si="23"/>
        <v>-2698004</v>
      </c>
      <c r="K131" s="5">
        <f t="shared" si="23"/>
        <v>-2913746</v>
      </c>
    </row>
    <row r="133" spans="1:11">
      <c r="A133" s="1" t="s">
        <v>97</v>
      </c>
    </row>
    <row r="134" spans="1:11">
      <c r="A134" s="21" t="s">
        <v>96</v>
      </c>
    </row>
    <row r="135" spans="1:11">
      <c r="A135" t="s">
        <v>95</v>
      </c>
    </row>
    <row r="136" spans="1:11">
      <c r="A136" s="21" t="s">
        <v>94</v>
      </c>
    </row>
    <row r="137" spans="1:11">
      <c r="A137" t="s">
        <v>93</v>
      </c>
      <c r="B137">
        <v>-159409</v>
      </c>
      <c r="C137">
        <v>-167534</v>
      </c>
      <c r="D137">
        <v>-176535</v>
      </c>
      <c r="E137">
        <v>-135874</v>
      </c>
      <c r="F137">
        <v>-135218</v>
      </c>
      <c r="G137">
        <v>-84053</v>
      </c>
      <c r="H137">
        <v>-65967</v>
      </c>
      <c r="I137">
        <v>-25000</v>
      </c>
      <c r="J137">
        <v>-25000</v>
      </c>
      <c r="K137">
        <v>-18750</v>
      </c>
    </row>
    <row r="138" spans="1:11" ht="30">
      <c r="A138" s="36" t="s">
        <v>31</v>
      </c>
      <c r="B138" s="5">
        <f>SUM(B135:B137)</f>
        <v>-159409</v>
      </c>
      <c r="C138" s="5">
        <f t="shared" ref="C138:K138" si="24">SUM(C135:C137)</f>
        <v>-167534</v>
      </c>
      <c r="D138" s="5">
        <f t="shared" si="24"/>
        <v>-176535</v>
      </c>
      <c r="E138" s="5">
        <f t="shared" si="24"/>
        <v>-135874</v>
      </c>
      <c r="F138" s="5">
        <f t="shared" si="24"/>
        <v>-135218</v>
      </c>
      <c r="G138" s="5">
        <f t="shared" si="24"/>
        <v>-84053</v>
      </c>
      <c r="H138" s="5">
        <f t="shared" si="24"/>
        <v>-65967</v>
      </c>
      <c r="I138" s="5">
        <f t="shared" si="24"/>
        <v>-25000</v>
      </c>
      <c r="J138" s="5">
        <f t="shared" si="24"/>
        <v>-25000</v>
      </c>
      <c r="K138" s="5">
        <f t="shared" si="24"/>
        <v>-18750</v>
      </c>
    </row>
    <row r="140" spans="1:11" ht="30">
      <c r="A140" s="36" t="s">
        <v>92</v>
      </c>
      <c r="B140" s="27">
        <f>B123+B131+B138</f>
        <v>-154158</v>
      </c>
      <c r="C140" s="27">
        <f t="shared" ref="C140:K140" si="25">C123+C131+C138</f>
        <v>-120407</v>
      </c>
      <c r="D140" s="27">
        <f t="shared" si="25"/>
        <v>-175670</v>
      </c>
      <c r="E140" s="27">
        <f t="shared" si="25"/>
        <v>-216973</v>
      </c>
      <c r="F140" s="27">
        <f t="shared" si="25"/>
        <v>-264479</v>
      </c>
      <c r="G140" s="27">
        <f t="shared" si="25"/>
        <v>-414677</v>
      </c>
      <c r="H140" s="27">
        <f t="shared" si="25"/>
        <v>-151456</v>
      </c>
      <c r="I140" s="27">
        <f t="shared" si="25"/>
        <v>-31057</v>
      </c>
      <c r="J140" s="27">
        <f t="shared" si="25"/>
        <v>5343</v>
      </c>
      <c r="K140" s="27">
        <f t="shared" si="25"/>
        <v>-206998</v>
      </c>
    </row>
    <row r="142" spans="1:11">
      <c r="A142" t="s">
        <v>91</v>
      </c>
      <c r="B142">
        <v>192538</v>
      </c>
      <c r="C142">
        <f>B143</f>
        <v>38380</v>
      </c>
      <c r="D142">
        <f t="shared" ref="D142:K142" si="26">C143</f>
        <v>-82027</v>
      </c>
      <c r="E142">
        <f t="shared" si="26"/>
        <v>-257697</v>
      </c>
      <c r="F142">
        <f t="shared" si="26"/>
        <v>-474670</v>
      </c>
      <c r="G142">
        <f t="shared" si="26"/>
        <v>-739149</v>
      </c>
      <c r="H142">
        <f t="shared" si="26"/>
        <v>-1153826</v>
      </c>
      <c r="I142">
        <f t="shared" si="26"/>
        <v>-1305282</v>
      </c>
      <c r="J142">
        <f t="shared" si="26"/>
        <v>-1336339</v>
      </c>
      <c r="K142">
        <f t="shared" si="26"/>
        <v>-1330996</v>
      </c>
    </row>
    <row r="143" spans="1:11">
      <c r="A143" s="1" t="s">
        <v>115</v>
      </c>
      <c r="B143" s="37">
        <f>SUM(B140:B142)</f>
        <v>38380</v>
      </c>
      <c r="C143" s="37">
        <f t="shared" ref="C143:K143" si="27">SUM(C140:C142)</f>
        <v>-82027</v>
      </c>
      <c r="D143" s="37">
        <f t="shared" si="27"/>
        <v>-257697</v>
      </c>
      <c r="E143" s="37">
        <f t="shared" si="27"/>
        <v>-474670</v>
      </c>
      <c r="F143" s="37">
        <f t="shared" si="27"/>
        <v>-739149</v>
      </c>
      <c r="G143" s="37">
        <f t="shared" si="27"/>
        <v>-1153826</v>
      </c>
      <c r="H143" s="37">
        <f t="shared" si="27"/>
        <v>-1305282</v>
      </c>
      <c r="I143" s="37">
        <f t="shared" si="27"/>
        <v>-1336339</v>
      </c>
      <c r="J143" s="37">
        <f t="shared" si="27"/>
        <v>-1330996</v>
      </c>
      <c r="K143" s="37">
        <f t="shared" si="27"/>
        <v>-1537994</v>
      </c>
    </row>
    <row r="145" spans="1:11">
      <c r="A145" t="s">
        <v>90</v>
      </c>
      <c r="B145">
        <v>660000</v>
      </c>
      <c r="C145">
        <v>660000</v>
      </c>
      <c r="D145">
        <v>660000</v>
      </c>
      <c r="E145">
        <v>660000</v>
      </c>
      <c r="F145">
        <v>660000</v>
      </c>
      <c r="G145">
        <v>660000</v>
      </c>
      <c r="H145">
        <v>660000</v>
      </c>
      <c r="I145">
        <v>660000</v>
      </c>
      <c r="J145">
        <v>660000</v>
      </c>
      <c r="K145">
        <v>660000</v>
      </c>
    </row>
    <row r="146" spans="1:11">
      <c r="A146" t="s">
        <v>89</v>
      </c>
      <c r="B146">
        <v>100000</v>
      </c>
      <c r="C146">
        <v>210000</v>
      </c>
      <c r="D146">
        <v>270000</v>
      </c>
      <c r="E146">
        <v>270000</v>
      </c>
      <c r="F146">
        <v>270000</v>
      </c>
      <c r="G146">
        <v>0</v>
      </c>
      <c r="H146">
        <v>70000</v>
      </c>
      <c r="I146">
        <v>140000</v>
      </c>
      <c r="J146">
        <v>210000</v>
      </c>
      <c r="K146">
        <v>280000</v>
      </c>
    </row>
    <row r="147" spans="1:11">
      <c r="A147" t="s">
        <v>88</v>
      </c>
      <c r="B147">
        <v>733023</v>
      </c>
      <c r="C147">
        <v>733023</v>
      </c>
      <c r="D147">
        <v>733023</v>
      </c>
      <c r="E147">
        <v>733023</v>
      </c>
      <c r="F147">
        <v>733023</v>
      </c>
      <c r="G147">
        <v>733023</v>
      </c>
      <c r="H147">
        <v>733023</v>
      </c>
      <c r="I147">
        <v>733023</v>
      </c>
      <c r="J147">
        <v>733023</v>
      </c>
      <c r="K147">
        <v>733023</v>
      </c>
    </row>
    <row r="148" spans="1:11">
      <c r="A148" t="s">
        <v>87</v>
      </c>
      <c r="B148">
        <v>68000</v>
      </c>
      <c r="C148">
        <v>68000</v>
      </c>
      <c r="D148">
        <v>68000</v>
      </c>
      <c r="E148">
        <v>68000</v>
      </c>
      <c r="F148">
        <v>68000</v>
      </c>
      <c r="G148">
        <v>68000</v>
      </c>
      <c r="H148">
        <v>53000</v>
      </c>
      <c r="I148">
        <v>53000</v>
      </c>
      <c r="J148">
        <v>53000</v>
      </c>
      <c r="K148">
        <v>35000</v>
      </c>
    </row>
    <row r="149" spans="1:11">
      <c r="A149" t="s">
        <v>86</v>
      </c>
      <c r="C149">
        <v>0</v>
      </c>
    </row>
    <row r="150" spans="1:11">
      <c r="A150" t="s">
        <v>85</v>
      </c>
      <c r="B150">
        <v>400180</v>
      </c>
      <c r="C150">
        <v>400180</v>
      </c>
      <c r="D150">
        <v>400180</v>
      </c>
      <c r="E150">
        <v>400180</v>
      </c>
      <c r="F150">
        <v>400180</v>
      </c>
      <c r="G150">
        <v>400180</v>
      </c>
      <c r="H150">
        <v>400180</v>
      </c>
      <c r="I150">
        <v>400180</v>
      </c>
      <c r="J150">
        <v>400180</v>
      </c>
      <c r="K150">
        <v>400180</v>
      </c>
    </row>
    <row r="151" spans="1:11" ht="15.75" thickBot="1">
      <c r="A151" s="1" t="s">
        <v>84</v>
      </c>
      <c r="B151" s="28">
        <f>SUM(B143:B150)</f>
        <v>1999583</v>
      </c>
      <c r="C151" s="28">
        <f t="shared" ref="C151:K151" si="28">SUM(C143:C150)</f>
        <v>1989176</v>
      </c>
      <c r="D151" s="28">
        <f t="shared" si="28"/>
        <v>1873506</v>
      </c>
      <c r="E151" s="28">
        <f t="shared" si="28"/>
        <v>1656533</v>
      </c>
      <c r="F151" s="28">
        <f t="shared" si="28"/>
        <v>1392054</v>
      </c>
      <c r="G151" s="28">
        <f t="shared" si="28"/>
        <v>707377</v>
      </c>
      <c r="H151" s="28">
        <f t="shared" si="28"/>
        <v>610921</v>
      </c>
      <c r="I151" s="28">
        <f t="shared" si="28"/>
        <v>649864</v>
      </c>
      <c r="J151" s="28">
        <f t="shared" si="28"/>
        <v>725207</v>
      </c>
      <c r="K151" s="28">
        <f t="shared" si="28"/>
        <v>570209</v>
      </c>
    </row>
    <row r="152" spans="1:11" ht="15.75" thickTop="1"/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headerFooter>
    <oddHeader>&amp;C&amp;"-,Bold"JERILDERIE SHIRE COUNCIL</oddHeader>
    <oddFooter>&amp;C&amp;A&amp;R&amp;P</oddFooter>
  </headerFooter>
  <rowBreaks count="5" manualBreakCount="5">
    <brk id="29" max="16383" man="1"/>
    <brk id="55" max="16383" man="1"/>
    <brk id="84" max="16383" man="1"/>
    <brk id="107" max="16383" man="1"/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52"/>
  <sheetViews>
    <sheetView tabSelected="1" workbookViewId="0">
      <selection activeCell="A101" sqref="A101"/>
    </sheetView>
  </sheetViews>
  <sheetFormatPr defaultRowHeight="15"/>
  <cols>
    <col min="1" max="1" width="47" customWidth="1"/>
    <col min="2" max="2" width="10" bestFit="1" customWidth="1"/>
  </cols>
  <sheetData>
    <row r="1" spans="1:11" ht="15.75">
      <c r="A1" s="29" t="s">
        <v>124</v>
      </c>
    </row>
    <row r="3" spans="1:11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>
      <c r="A4" s="1" t="s">
        <v>11</v>
      </c>
    </row>
    <row r="5" spans="1:11">
      <c r="A5" t="s">
        <v>12</v>
      </c>
      <c r="B5">
        <v>1763827</v>
      </c>
      <c r="C5">
        <v>1933666</v>
      </c>
      <c r="D5">
        <v>1991300</v>
      </c>
      <c r="E5">
        <v>2050662</v>
      </c>
      <c r="F5">
        <v>2111806</v>
      </c>
      <c r="G5">
        <v>2174783</v>
      </c>
      <c r="H5">
        <v>2239650</v>
      </c>
      <c r="I5">
        <v>2306464</v>
      </c>
      <c r="J5">
        <v>2375281</v>
      </c>
      <c r="K5">
        <v>2446163</v>
      </c>
    </row>
    <row r="6" spans="1:11">
      <c r="A6" t="s">
        <v>13</v>
      </c>
      <c r="B6">
        <v>1753769</v>
      </c>
      <c r="C6">
        <v>1826188</v>
      </c>
      <c r="D6">
        <v>1844785</v>
      </c>
      <c r="E6">
        <v>1869079</v>
      </c>
      <c r="F6">
        <v>1893092</v>
      </c>
      <c r="G6">
        <v>1918345</v>
      </c>
      <c r="H6">
        <v>1944362</v>
      </c>
      <c r="I6">
        <v>1971165</v>
      </c>
      <c r="J6">
        <v>1999278</v>
      </c>
      <c r="K6">
        <v>2027227</v>
      </c>
    </row>
    <row r="7" spans="1:11">
      <c r="A7" t="s">
        <v>14</v>
      </c>
      <c r="B7">
        <v>111850</v>
      </c>
      <c r="C7">
        <v>103606</v>
      </c>
      <c r="D7">
        <v>95264</v>
      </c>
      <c r="E7">
        <v>86822</v>
      </c>
      <c r="F7">
        <v>83276</v>
      </c>
      <c r="G7">
        <v>79625</v>
      </c>
      <c r="H7">
        <v>80863</v>
      </c>
      <c r="I7">
        <v>81989</v>
      </c>
      <c r="J7">
        <v>82999</v>
      </c>
      <c r="K7">
        <v>78889</v>
      </c>
    </row>
    <row r="8" spans="1:11">
      <c r="A8" t="s">
        <v>15</v>
      </c>
      <c r="B8">
        <v>2916470</v>
      </c>
      <c r="C8">
        <v>3017182</v>
      </c>
      <c r="D8">
        <v>3087827</v>
      </c>
      <c r="E8">
        <v>3191180</v>
      </c>
      <c r="F8">
        <v>3268119</v>
      </c>
      <c r="G8">
        <v>3379426</v>
      </c>
      <c r="H8">
        <v>3460983</v>
      </c>
      <c r="I8">
        <v>3575575</v>
      </c>
      <c r="J8">
        <v>3665592</v>
      </c>
      <c r="K8">
        <v>3786322</v>
      </c>
    </row>
    <row r="9" spans="1:11">
      <c r="A9" t="s">
        <v>16</v>
      </c>
      <c r="B9">
        <v>248447</v>
      </c>
      <c r="C9">
        <v>110026</v>
      </c>
      <c r="D9">
        <v>112000</v>
      </c>
      <c r="E9">
        <v>114033</v>
      </c>
      <c r="F9">
        <v>116127</v>
      </c>
      <c r="G9">
        <v>118284</v>
      </c>
      <c r="H9">
        <v>120841</v>
      </c>
      <c r="I9">
        <v>123129</v>
      </c>
      <c r="J9">
        <v>125486</v>
      </c>
      <c r="K9">
        <v>127914</v>
      </c>
    </row>
    <row r="10" spans="1:11">
      <c r="A10" t="s">
        <v>17</v>
      </c>
      <c r="B10">
        <v>24598</v>
      </c>
      <c r="C10">
        <v>25336</v>
      </c>
      <c r="D10">
        <v>26096</v>
      </c>
      <c r="E10">
        <v>26879</v>
      </c>
      <c r="F10">
        <v>27685</v>
      </c>
      <c r="G10">
        <v>28516</v>
      </c>
      <c r="H10">
        <v>29371</v>
      </c>
      <c r="I10">
        <v>30252</v>
      </c>
      <c r="J10">
        <v>31160</v>
      </c>
      <c r="K10">
        <v>32095</v>
      </c>
    </row>
    <row r="12" spans="1:11" ht="30">
      <c r="A12" s="36" t="s">
        <v>18</v>
      </c>
      <c r="B12">
        <f>SUM(B5:B11)</f>
        <v>6818961</v>
      </c>
      <c r="C12">
        <f t="shared" ref="C12:K12" si="0">SUM(C5:C11)</f>
        <v>7016004</v>
      </c>
      <c r="D12">
        <f t="shared" si="0"/>
        <v>7157272</v>
      </c>
      <c r="E12">
        <f t="shared" si="0"/>
        <v>7338655</v>
      </c>
      <c r="F12">
        <f t="shared" si="0"/>
        <v>7500105</v>
      </c>
      <c r="G12">
        <f t="shared" si="0"/>
        <v>7698979</v>
      </c>
      <c r="H12">
        <f t="shared" si="0"/>
        <v>7876070</v>
      </c>
      <c r="I12">
        <f t="shared" si="0"/>
        <v>8088574</v>
      </c>
      <c r="J12">
        <f t="shared" si="0"/>
        <v>8279796</v>
      </c>
      <c r="K12">
        <f t="shared" si="0"/>
        <v>8498610</v>
      </c>
    </row>
    <row r="14" spans="1:11">
      <c r="A14" s="1" t="s">
        <v>19</v>
      </c>
    </row>
    <row r="15" spans="1:11">
      <c r="A15" t="s">
        <v>20</v>
      </c>
      <c r="B15">
        <v>3117943</v>
      </c>
      <c r="C15">
        <v>3186691</v>
      </c>
      <c r="D15">
        <v>3282362</v>
      </c>
      <c r="E15">
        <v>3381044</v>
      </c>
      <c r="F15">
        <v>3487825</v>
      </c>
      <c r="G15">
        <v>3597799</v>
      </c>
      <c r="H15">
        <v>3711062</v>
      </c>
      <c r="I15">
        <v>3827711</v>
      </c>
      <c r="J15">
        <v>3947847</v>
      </c>
      <c r="K15">
        <v>4071575</v>
      </c>
    </row>
    <row r="16" spans="1:11">
      <c r="A16" t="s">
        <v>21</v>
      </c>
      <c r="B16">
        <v>1267476</v>
      </c>
      <c r="C16">
        <v>1272951</v>
      </c>
      <c r="D16">
        <v>1301147</v>
      </c>
      <c r="E16">
        <v>1285872</v>
      </c>
      <c r="F16">
        <v>1409933</v>
      </c>
      <c r="G16">
        <v>1403699</v>
      </c>
      <c r="H16">
        <v>1419272</v>
      </c>
      <c r="I16">
        <v>1403918</v>
      </c>
      <c r="J16">
        <v>1416455</v>
      </c>
      <c r="K16">
        <v>1474596</v>
      </c>
    </row>
    <row r="17" spans="1:11">
      <c r="A17" t="s">
        <v>22</v>
      </c>
      <c r="B17">
        <v>58524</v>
      </c>
      <c r="C17">
        <v>48983</v>
      </c>
      <c r="D17">
        <v>38295</v>
      </c>
      <c r="E17">
        <v>28273</v>
      </c>
      <c r="F17">
        <v>19343</v>
      </c>
      <c r="G17">
        <v>11339</v>
      </c>
      <c r="H17">
        <v>6166</v>
      </c>
      <c r="I17">
        <v>2867</v>
      </c>
      <c r="J17">
        <v>1617</v>
      </c>
      <c r="K17">
        <v>393</v>
      </c>
    </row>
    <row r="18" spans="1:11">
      <c r="A18" t="s">
        <v>23</v>
      </c>
      <c r="B18">
        <v>2659035</v>
      </c>
      <c r="C18">
        <v>2665508</v>
      </c>
      <c r="D18">
        <v>2671036</v>
      </c>
      <c r="E18">
        <v>2676620</v>
      </c>
      <c r="F18">
        <v>2682260</v>
      </c>
      <c r="G18">
        <v>2687957</v>
      </c>
      <c r="H18">
        <v>2693712</v>
      </c>
      <c r="I18">
        <v>2699524</v>
      </c>
      <c r="J18">
        <v>2705396</v>
      </c>
      <c r="K18">
        <v>2711327</v>
      </c>
    </row>
    <row r="19" spans="1:11">
      <c r="A19" t="s">
        <v>24</v>
      </c>
      <c r="B19">
        <v>660319</v>
      </c>
      <c r="C19">
        <v>679863</v>
      </c>
      <c r="D19">
        <v>699993</v>
      </c>
      <c r="E19">
        <v>720728</v>
      </c>
      <c r="F19">
        <v>742084</v>
      </c>
      <c r="G19">
        <v>764081</v>
      </c>
      <c r="H19">
        <v>786738</v>
      </c>
      <c r="I19">
        <v>810075</v>
      </c>
      <c r="J19">
        <v>834111</v>
      </c>
      <c r="K19">
        <v>858869</v>
      </c>
    </row>
    <row r="20" spans="1:11">
      <c r="A20" t="s">
        <v>25</v>
      </c>
      <c r="B20">
        <v>24598</v>
      </c>
      <c r="C20">
        <v>25336</v>
      </c>
      <c r="D20">
        <v>26096</v>
      </c>
      <c r="E20">
        <v>26879</v>
      </c>
      <c r="F20">
        <v>27685</v>
      </c>
      <c r="G20">
        <v>28516</v>
      </c>
      <c r="H20">
        <v>29371</v>
      </c>
      <c r="I20">
        <v>30252</v>
      </c>
      <c r="J20">
        <v>31160</v>
      </c>
      <c r="K20">
        <v>32095</v>
      </c>
    </row>
    <row r="22" spans="1:11">
      <c r="A22" s="1" t="s">
        <v>26</v>
      </c>
      <c r="B22">
        <f>SUM(B15:B21)</f>
        <v>7787895</v>
      </c>
      <c r="C22">
        <f t="shared" ref="C22:K22" si="1">SUM(C15:C21)</f>
        <v>7879332</v>
      </c>
      <c r="D22">
        <f t="shared" si="1"/>
        <v>8018929</v>
      </c>
      <c r="E22">
        <f t="shared" si="1"/>
        <v>8119416</v>
      </c>
      <c r="F22">
        <f t="shared" si="1"/>
        <v>8369130</v>
      </c>
      <c r="G22">
        <f t="shared" si="1"/>
        <v>8493391</v>
      </c>
      <c r="H22">
        <f t="shared" si="1"/>
        <v>8646321</v>
      </c>
      <c r="I22">
        <f t="shared" si="1"/>
        <v>8774347</v>
      </c>
      <c r="J22">
        <f t="shared" si="1"/>
        <v>8936586</v>
      </c>
      <c r="K22">
        <f t="shared" si="1"/>
        <v>9148855</v>
      </c>
    </row>
    <row r="24" spans="1:11" ht="30">
      <c r="A24" s="36" t="s">
        <v>27</v>
      </c>
      <c r="B24">
        <f>B12-B22</f>
        <v>-968934</v>
      </c>
      <c r="C24">
        <f t="shared" ref="C24:K24" si="2">C12-C22</f>
        <v>-863328</v>
      </c>
      <c r="D24">
        <f t="shared" si="2"/>
        <v>-861657</v>
      </c>
      <c r="E24">
        <f t="shared" si="2"/>
        <v>-780761</v>
      </c>
      <c r="F24">
        <f t="shared" si="2"/>
        <v>-869025</v>
      </c>
      <c r="G24">
        <f t="shared" si="2"/>
        <v>-794412</v>
      </c>
      <c r="H24">
        <f t="shared" si="2"/>
        <v>-770251</v>
      </c>
      <c r="I24">
        <f t="shared" si="2"/>
        <v>-685773</v>
      </c>
      <c r="J24">
        <f t="shared" si="2"/>
        <v>-656790</v>
      </c>
      <c r="K24">
        <f t="shared" si="2"/>
        <v>-650245</v>
      </c>
    </row>
    <row r="26" spans="1:11">
      <c r="A26" t="s">
        <v>28</v>
      </c>
      <c r="B26">
        <v>1840800</v>
      </c>
      <c r="C26">
        <v>818472</v>
      </c>
      <c r="D26">
        <v>801957</v>
      </c>
      <c r="E26">
        <v>763312</v>
      </c>
      <c r="F26">
        <v>791093</v>
      </c>
      <c r="G26">
        <v>779108</v>
      </c>
      <c r="H26">
        <v>807364</v>
      </c>
      <c r="I26">
        <v>795867</v>
      </c>
      <c r="J26">
        <v>824625</v>
      </c>
      <c r="K26">
        <v>813646</v>
      </c>
    </row>
    <row r="28" spans="1:11">
      <c r="A28" s="1" t="s">
        <v>29</v>
      </c>
      <c r="B28" s="1">
        <f>B24+B26</f>
        <v>871866</v>
      </c>
      <c r="C28" s="1">
        <f t="shared" ref="C28:K28" si="3">C24+C26</f>
        <v>-44856</v>
      </c>
      <c r="D28" s="1">
        <f t="shared" si="3"/>
        <v>-59700</v>
      </c>
      <c r="E28" s="1">
        <f t="shared" si="3"/>
        <v>-17449</v>
      </c>
      <c r="F28" s="1">
        <f t="shared" si="3"/>
        <v>-77932</v>
      </c>
      <c r="G28" s="1">
        <f t="shared" si="3"/>
        <v>-15304</v>
      </c>
      <c r="H28" s="1">
        <f t="shared" si="3"/>
        <v>37113</v>
      </c>
      <c r="I28" s="1">
        <f t="shared" si="3"/>
        <v>110094</v>
      </c>
      <c r="J28" s="1">
        <f t="shared" si="3"/>
        <v>167835</v>
      </c>
      <c r="K28" s="1">
        <f t="shared" si="3"/>
        <v>163401</v>
      </c>
    </row>
    <row r="31" spans="1:11">
      <c r="A31" s="1" t="s">
        <v>129</v>
      </c>
    </row>
    <row r="33" spans="1:11">
      <c r="A33" s="1" t="s">
        <v>32</v>
      </c>
      <c r="B33" s="4">
        <f>B35/B37*100</f>
        <v>-14.209408148836749</v>
      </c>
      <c r="C33" s="4">
        <f t="shared" ref="C33:K33" si="4">C35/C37*100</f>
        <v>-12.305124113384199</v>
      </c>
      <c r="D33" s="4">
        <f t="shared" si="4"/>
        <v>-12.038902531579071</v>
      </c>
      <c r="E33" s="4">
        <f t="shared" si="4"/>
        <v>-10.639020365448438</v>
      </c>
      <c r="F33" s="4">
        <f t="shared" si="4"/>
        <v>-11.586837784271021</v>
      </c>
      <c r="G33" s="4">
        <f t="shared" si="4"/>
        <v>-10.318407155026661</v>
      </c>
      <c r="H33" s="4">
        <f t="shared" si="4"/>
        <v>-9.7796362906881225</v>
      </c>
      <c r="I33" s="4">
        <f t="shared" si="4"/>
        <v>-8.4782929599209957</v>
      </c>
      <c r="J33" s="4">
        <f t="shared" si="4"/>
        <v>-7.932441813783818</v>
      </c>
      <c r="K33" s="4">
        <f t="shared" si="4"/>
        <v>-7.6511923714583912</v>
      </c>
    </row>
    <row r="35" spans="1:11">
      <c r="A35" t="s">
        <v>33</v>
      </c>
      <c r="B35" s="31">
        <f>B24</f>
        <v>-968934</v>
      </c>
      <c r="C35" s="31">
        <f t="shared" ref="C35:K35" si="5">C24</f>
        <v>-863328</v>
      </c>
      <c r="D35" s="31">
        <f t="shared" si="5"/>
        <v>-861657</v>
      </c>
      <c r="E35" s="31">
        <f t="shared" si="5"/>
        <v>-780761</v>
      </c>
      <c r="F35" s="31">
        <f t="shared" si="5"/>
        <v>-869025</v>
      </c>
      <c r="G35" s="31">
        <f t="shared" si="5"/>
        <v>-794412</v>
      </c>
      <c r="H35" s="31">
        <f t="shared" si="5"/>
        <v>-770251</v>
      </c>
      <c r="I35" s="31">
        <f t="shared" si="5"/>
        <v>-685773</v>
      </c>
      <c r="J35" s="31">
        <f t="shared" si="5"/>
        <v>-656790</v>
      </c>
      <c r="K35" s="31">
        <f t="shared" si="5"/>
        <v>-650245</v>
      </c>
    </row>
    <row r="37" spans="1:11">
      <c r="A37" t="s">
        <v>119</v>
      </c>
      <c r="B37">
        <f>B12</f>
        <v>6818961</v>
      </c>
      <c r="C37">
        <f t="shared" ref="C37:K37" si="6">C12</f>
        <v>7016004</v>
      </c>
      <c r="D37">
        <f t="shared" si="6"/>
        <v>7157272</v>
      </c>
      <c r="E37">
        <f t="shared" si="6"/>
        <v>7338655</v>
      </c>
      <c r="F37">
        <f t="shared" si="6"/>
        <v>7500105</v>
      </c>
      <c r="G37">
        <f t="shared" si="6"/>
        <v>7698979</v>
      </c>
      <c r="H37">
        <f t="shared" si="6"/>
        <v>7876070</v>
      </c>
      <c r="I37">
        <f t="shared" si="6"/>
        <v>8088574</v>
      </c>
      <c r="J37">
        <f t="shared" si="6"/>
        <v>8279796</v>
      </c>
      <c r="K37">
        <f t="shared" si="6"/>
        <v>8498610</v>
      </c>
    </row>
    <row r="41" spans="1:11">
      <c r="A41" s="1" t="s">
        <v>125</v>
      </c>
      <c r="B41" s="4">
        <f>B43/B45*100</f>
        <v>25.866506642287586</v>
      </c>
      <c r="C41" s="4">
        <f t="shared" ref="C41:K41" si="7">C43/C45*100</f>
        <v>27.560788163746768</v>
      </c>
      <c r="D41" s="4">
        <f t="shared" si="7"/>
        <v>27.822052871541004</v>
      </c>
      <c r="E41" s="4">
        <f t="shared" si="7"/>
        <v>27.943294786306211</v>
      </c>
      <c r="F41" s="4">
        <f t="shared" si="7"/>
        <v>28.157019135065443</v>
      </c>
      <c r="G41" s="4">
        <f t="shared" si="7"/>
        <v>28.247680634016536</v>
      </c>
      <c r="H41" s="4">
        <f t="shared" si="7"/>
        <v>28.436136296401632</v>
      </c>
      <c r="I41" s="4">
        <f t="shared" si="7"/>
        <v>28.515088073620888</v>
      </c>
      <c r="J41" s="4">
        <f t="shared" si="7"/>
        <v>28.687675396833452</v>
      </c>
      <c r="K41" s="4">
        <f t="shared" si="7"/>
        <v>28.783095117907514</v>
      </c>
    </row>
    <row r="43" spans="1:11">
      <c r="A43" t="s">
        <v>12</v>
      </c>
      <c r="B43" s="31">
        <f>B5</f>
        <v>1763827</v>
      </c>
      <c r="C43" s="31">
        <f t="shared" ref="C43:K43" si="8">C5</f>
        <v>1933666</v>
      </c>
      <c r="D43" s="31">
        <f t="shared" si="8"/>
        <v>1991300</v>
      </c>
      <c r="E43" s="31">
        <f t="shared" si="8"/>
        <v>2050662</v>
      </c>
      <c r="F43" s="31">
        <f t="shared" si="8"/>
        <v>2111806</v>
      </c>
      <c r="G43" s="31">
        <f t="shared" si="8"/>
        <v>2174783</v>
      </c>
      <c r="H43" s="31">
        <f t="shared" si="8"/>
        <v>2239650</v>
      </c>
      <c r="I43" s="31">
        <f t="shared" si="8"/>
        <v>2306464</v>
      </c>
      <c r="J43" s="31">
        <f t="shared" si="8"/>
        <v>2375281</v>
      </c>
      <c r="K43" s="31">
        <f t="shared" si="8"/>
        <v>2446163</v>
      </c>
    </row>
    <row r="45" spans="1:11">
      <c r="A45" t="s">
        <v>119</v>
      </c>
      <c r="B45">
        <f>B12</f>
        <v>6818961</v>
      </c>
      <c r="C45">
        <f t="shared" ref="C45:K45" si="9">C12</f>
        <v>7016004</v>
      </c>
      <c r="D45">
        <f t="shared" si="9"/>
        <v>7157272</v>
      </c>
      <c r="E45">
        <f t="shared" si="9"/>
        <v>7338655</v>
      </c>
      <c r="F45">
        <f t="shared" si="9"/>
        <v>7500105</v>
      </c>
      <c r="G45">
        <f t="shared" si="9"/>
        <v>7698979</v>
      </c>
      <c r="H45">
        <f t="shared" si="9"/>
        <v>7876070</v>
      </c>
      <c r="I45">
        <f t="shared" si="9"/>
        <v>8088574</v>
      </c>
      <c r="J45">
        <f t="shared" si="9"/>
        <v>8279796</v>
      </c>
      <c r="K45">
        <f t="shared" si="9"/>
        <v>8498610</v>
      </c>
    </row>
    <row r="49" spans="1:11">
      <c r="A49" s="1" t="s">
        <v>37</v>
      </c>
      <c r="B49" s="4">
        <f>B51/B53*100</f>
        <v>44.780600757919302</v>
      </c>
      <c r="C49" s="4">
        <f t="shared" ref="C49:K49" si="10">C51/C53*100</f>
        <v>50.717954844714562</v>
      </c>
      <c r="D49" s="4">
        <f t="shared" si="10"/>
        <v>50.800762234633531</v>
      </c>
      <c r="E49" s="4">
        <f t="shared" si="10"/>
        <v>50.85920493134568</v>
      </c>
      <c r="F49" s="4">
        <f t="shared" si="10"/>
        <v>50.708003837322423</v>
      </c>
      <c r="G49" s="4">
        <f t="shared" si="10"/>
        <v>50.613269243403614</v>
      </c>
      <c r="H49" s="4">
        <f t="shared" si="10"/>
        <v>50.506700459748984</v>
      </c>
      <c r="I49" s="4">
        <f t="shared" si="10"/>
        <v>50.456151377447377</v>
      </c>
      <c r="J49" s="4">
        <f t="shared" si="10"/>
        <v>50.33866513861782</v>
      </c>
      <c r="K49" s="4">
        <f t="shared" si="10"/>
        <v>50.258422878408837</v>
      </c>
    </row>
    <row r="51" spans="1:11">
      <c r="A51" t="s">
        <v>38</v>
      </c>
      <c r="B51" s="3">
        <f>B5+B6+B7+B9</f>
        <v>3877893</v>
      </c>
      <c r="C51" s="3">
        <f t="shared" ref="C51:K51" si="11">C5+C6+C7+C9</f>
        <v>3973486</v>
      </c>
      <c r="D51" s="3">
        <f t="shared" si="11"/>
        <v>4043349</v>
      </c>
      <c r="E51" s="3">
        <f t="shared" si="11"/>
        <v>4120596</v>
      </c>
      <c r="F51" s="3">
        <f t="shared" si="11"/>
        <v>4204301</v>
      </c>
      <c r="G51" s="3">
        <f t="shared" si="11"/>
        <v>4291037</v>
      </c>
      <c r="H51" s="3">
        <f t="shared" si="11"/>
        <v>4385716</v>
      </c>
      <c r="I51" s="3">
        <f t="shared" si="11"/>
        <v>4482747</v>
      </c>
      <c r="J51" s="3">
        <f t="shared" si="11"/>
        <v>4583044</v>
      </c>
      <c r="K51" s="3">
        <f t="shared" si="11"/>
        <v>4680193</v>
      </c>
    </row>
    <row r="53" spans="1:11">
      <c r="A53" t="s">
        <v>39</v>
      </c>
      <c r="B53">
        <f>B12+B26</f>
        <v>8659761</v>
      </c>
      <c r="C53">
        <f t="shared" ref="C53:K53" si="12">C12+C26</f>
        <v>7834476</v>
      </c>
      <c r="D53">
        <f t="shared" si="12"/>
        <v>7959229</v>
      </c>
      <c r="E53">
        <f t="shared" si="12"/>
        <v>8101967</v>
      </c>
      <c r="F53">
        <f t="shared" si="12"/>
        <v>8291198</v>
      </c>
      <c r="G53">
        <f t="shared" si="12"/>
        <v>8478087</v>
      </c>
      <c r="H53">
        <f t="shared" si="12"/>
        <v>8683434</v>
      </c>
      <c r="I53">
        <f t="shared" si="12"/>
        <v>8884441</v>
      </c>
      <c r="J53">
        <f t="shared" si="12"/>
        <v>9104421</v>
      </c>
      <c r="K53">
        <f t="shared" si="12"/>
        <v>9312256</v>
      </c>
    </row>
    <row r="57" spans="1:11" ht="15.75">
      <c r="A57" s="35" t="s">
        <v>126</v>
      </c>
      <c r="C57" s="8"/>
      <c r="D57" s="8"/>
      <c r="E57" s="8"/>
      <c r="F57" s="8"/>
      <c r="G57" s="8"/>
      <c r="H57" s="8"/>
      <c r="I57" s="8"/>
      <c r="J57" s="8"/>
      <c r="K57" s="8"/>
    </row>
    <row r="58" spans="1:11" ht="15.75" thickBot="1"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>
      <c r="B59" s="26" t="s">
        <v>128</v>
      </c>
      <c r="C59" s="26" t="s">
        <v>128</v>
      </c>
      <c r="D59" s="26" t="s">
        <v>128</v>
      </c>
      <c r="E59" s="26" t="s">
        <v>128</v>
      </c>
      <c r="F59" s="26" t="s">
        <v>128</v>
      </c>
      <c r="G59" s="26" t="s">
        <v>128</v>
      </c>
      <c r="H59" s="26" t="s">
        <v>128</v>
      </c>
      <c r="I59" s="26" t="s">
        <v>128</v>
      </c>
      <c r="J59" s="26" t="s">
        <v>128</v>
      </c>
      <c r="K59" s="26" t="s">
        <v>128</v>
      </c>
    </row>
    <row r="60" spans="1:11" ht="15.75" thickBot="1">
      <c r="B60" s="25" t="s">
        <v>1</v>
      </c>
      <c r="C60" s="25" t="s">
        <v>2</v>
      </c>
      <c r="D60" s="25" t="s">
        <v>3</v>
      </c>
      <c r="E60" s="25" t="s">
        <v>4</v>
      </c>
      <c r="F60" s="25" t="s">
        <v>5</v>
      </c>
      <c r="G60" s="25" t="s">
        <v>6</v>
      </c>
      <c r="H60" s="25" t="s">
        <v>7</v>
      </c>
      <c r="I60" s="25" t="s">
        <v>8</v>
      </c>
      <c r="J60" s="25" t="s">
        <v>9</v>
      </c>
      <c r="K60" s="25" t="s">
        <v>10</v>
      </c>
    </row>
    <row r="61" spans="1:11"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>
      <c r="A62" s="12" t="s">
        <v>50</v>
      </c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>
      <c r="A63" s="18" t="s">
        <v>51</v>
      </c>
      <c r="B63" s="8">
        <v>2000</v>
      </c>
      <c r="C63" s="8">
        <v>2107</v>
      </c>
      <c r="D63" s="8">
        <v>2113</v>
      </c>
      <c r="E63" s="8">
        <v>2021</v>
      </c>
      <c r="F63" s="8">
        <v>1885</v>
      </c>
      <c r="G63" s="8">
        <v>1333</v>
      </c>
      <c r="H63" s="8">
        <v>1373</v>
      </c>
      <c r="I63" s="8">
        <v>1553</v>
      </c>
      <c r="J63" s="8">
        <v>1773</v>
      </c>
      <c r="K63" s="8">
        <v>1767</v>
      </c>
    </row>
    <row r="64" spans="1:11">
      <c r="A64" s="18" t="s">
        <v>52</v>
      </c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>
      <c r="A65" s="8" t="s">
        <v>53</v>
      </c>
      <c r="B65" s="8">
        <v>804</v>
      </c>
      <c r="C65" s="8">
        <v>804</v>
      </c>
      <c r="D65" s="8">
        <v>804</v>
      </c>
      <c r="E65" s="8">
        <v>804</v>
      </c>
      <c r="F65" s="8">
        <v>804</v>
      </c>
      <c r="G65" s="8">
        <v>804</v>
      </c>
      <c r="H65" s="8">
        <v>804</v>
      </c>
      <c r="I65" s="8">
        <v>804</v>
      </c>
      <c r="J65" s="8">
        <v>804</v>
      </c>
      <c r="K65" s="8">
        <v>804</v>
      </c>
    </row>
    <row r="66" spans="1:11">
      <c r="A66" s="18" t="s">
        <v>54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>
      <c r="A67" s="8" t="s">
        <v>55</v>
      </c>
      <c r="B67" s="8">
        <v>321</v>
      </c>
      <c r="C67" s="8">
        <v>285</v>
      </c>
      <c r="D67" s="8">
        <v>213</v>
      </c>
      <c r="E67" s="8">
        <v>213</v>
      </c>
      <c r="F67" s="8">
        <v>213</v>
      </c>
      <c r="G67" s="8">
        <v>281</v>
      </c>
      <c r="H67" s="8">
        <v>281</v>
      </c>
      <c r="I67" s="8">
        <v>281</v>
      </c>
      <c r="J67" s="8">
        <v>281</v>
      </c>
      <c r="K67" s="8">
        <v>213</v>
      </c>
    </row>
    <row r="68" spans="1:11">
      <c r="A68" s="18" t="s">
        <v>56</v>
      </c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>
      <c r="A69" s="18" t="s">
        <v>57</v>
      </c>
      <c r="B69" s="8">
        <v>72</v>
      </c>
      <c r="C69" s="8"/>
      <c r="D69" s="8"/>
      <c r="E69" s="8"/>
      <c r="F69" s="8"/>
      <c r="G69" s="8">
        <v>202</v>
      </c>
      <c r="H69" s="8">
        <v>134</v>
      </c>
      <c r="I69" s="8">
        <v>66</v>
      </c>
      <c r="J69" s="8"/>
      <c r="K69" s="8"/>
    </row>
    <row r="70" spans="1:11">
      <c r="A70" s="8" t="s">
        <v>58</v>
      </c>
      <c r="B70" s="8">
        <v>140</v>
      </c>
      <c r="C70" s="8">
        <v>140</v>
      </c>
      <c r="D70" s="8">
        <v>140</v>
      </c>
      <c r="E70" s="8">
        <v>140</v>
      </c>
      <c r="F70" s="8">
        <v>140</v>
      </c>
      <c r="G70" s="8">
        <v>140</v>
      </c>
      <c r="H70" s="8">
        <v>140</v>
      </c>
      <c r="I70" s="8">
        <v>140</v>
      </c>
      <c r="J70" s="8">
        <v>140</v>
      </c>
      <c r="K70" s="8">
        <v>140</v>
      </c>
    </row>
    <row r="71" spans="1:11">
      <c r="A71" s="8" t="s">
        <v>59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>
      <c r="A72" s="12" t="s">
        <v>60</v>
      </c>
      <c r="B72" s="12">
        <f>SUM(B63:B71)</f>
        <v>3337</v>
      </c>
      <c r="C72" s="12">
        <f t="shared" ref="C72:K72" si="13">SUM(C63:C71)</f>
        <v>3336</v>
      </c>
      <c r="D72" s="12">
        <f t="shared" si="13"/>
        <v>3270</v>
      </c>
      <c r="E72" s="12">
        <f t="shared" si="13"/>
        <v>3178</v>
      </c>
      <c r="F72" s="12">
        <f t="shared" si="13"/>
        <v>3042</v>
      </c>
      <c r="G72" s="12">
        <f t="shared" si="13"/>
        <v>2760</v>
      </c>
      <c r="H72" s="12">
        <f t="shared" si="13"/>
        <v>2732</v>
      </c>
      <c r="I72" s="12">
        <f t="shared" si="13"/>
        <v>2844</v>
      </c>
      <c r="J72" s="12">
        <f t="shared" si="13"/>
        <v>2998</v>
      </c>
      <c r="K72" s="12">
        <f t="shared" si="13"/>
        <v>2924</v>
      </c>
    </row>
    <row r="73" spans="1:1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>
      <c r="A74" s="12" t="s">
        <v>61</v>
      </c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>
      <c r="A75" s="8" t="s">
        <v>53</v>
      </c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>
      <c r="A76" s="8" t="s">
        <v>55</v>
      </c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>
      <c r="A77" s="8" t="s">
        <v>62</v>
      </c>
      <c r="B77" s="8">
        <v>94416</v>
      </c>
      <c r="C77" s="8">
        <v>94204</v>
      </c>
      <c r="D77" s="8">
        <v>94035</v>
      </c>
      <c r="E77" s="8">
        <v>93972</v>
      </c>
      <c r="F77" s="8">
        <v>93897</v>
      </c>
      <c r="G77" s="8">
        <v>94079</v>
      </c>
      <c r="H77" s="8">
        <v>94078</v>
      </c>
      <c r="I77" s="8">
        <v>94051</v>
      </c>
      <c r="J77" s="8">
        <v>94040</v>
      </c>
      <c r="K77" s="8">
        <v>94259</v>
      </c>
    </row>
    <row r="78" spans="1:11">
      <c r="A78" s="8" t="s">
        <v>63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>
      <c r="A79" s="8" t="s">
        <v>64</v>
      </c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>
      <c r="A80" s="8" t="s">
        <v>65</v>
      </c>
      <c r="B80" s="8">
        <v>160</v>
      </c>
      <c r="C80" s="8">
        <v>160</v>
      </c>
      <c r="D80" s="8">
        <v>160</v>
      </c>
      <c r="E80" s="8">
        <v>160</v>
      </c>
      <c r="F80" s="8">
        <v>160</v>
      </c>
      <c r="G80" s="8">
        <v>160</v>
      </c>
      <c r="H80" s="8">
        <v>160</v>
      </c>
      <c r="I80" s="8">
        <v>160</v>
      </c>
      <c r="J80" s="8">
        <v>160</v>
      </c>
      <c r="K80" s="8">
        <v>160</v>
      </c>
    </row>
    <row r="81" spans="1:11">
      <c r="A81" s="8" t="s">
        <v>58</v>
      </c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>
      <c r="A82" s="12" t="s">
        <v>66</v>
      </c>
      <c r="B82" s="13">
        <f t="shared" ref="B82:K82" si="14">SUM(B75:B81)</f>
        <v>94576</v>
      </c>
      <c r="C82" s="13">
        <f t="shared" si="14"/>
        <v>94364</v>
      </c>
      <c r="D82" s="13">
        <f t="shared" si="14"/>
        <v>94195</v>
      </c>
      <c r="E82" s="13">
        <f t="shared" si="14"/>
        <v>94132</v>
      </c>
      <c r="F82" s="13">
        <f t="shared" si="14"/>
        <v>94057</v>
      </c>
      <c r="G82" s="13">
        <f t="shared" si="14"/>
        <v>94239</v>
      </c>
      <c r="H82" s="13">
        <f t="shared" si="14"/>
        <v>94238</v>
      </c>
      <c r="I82" s="13">
        <f t="shared" si="14"/>
        <v>94211</v>
      </c>
      <c r="J82" s="13">
        <f t="shared" si="14"/>
        <v>94200</v>
      </c>
      <c r="K82" s="13">
        <f t="shared" si="14"/>
        <v>94419</v>
      </c>
    </row>
    <row r="83" spans="1:11" ht="15.75" thickBot="1">
      <c r="A83" s="12" t="s">
        <v>67</v>
      </c>
      <c r="B83" s="14">
        <f t="shared" ref="B83:K83" si="15">B72+B82</f>
        <v>97913</v>
      </c>
      <c r="C83" s="14">
        <f t="shared" si="15"/>
        <v>97700</v>
      </c>
      <c r="D83" s="14">
        <f t="shared" si="15"/>
        <v>97465</v>
      </c>
      <c r="E83" s="14">
        <f t="shared" si="15"/>
        <v>97310</v>
      </c>
      <c r="F83" s="14">
        <f t="shared" si="15"/>
        <v>97099</v>
      </c>
      <c r="G83" s="14">
        <f t="shared" si="15"/>
        <v>96999</v>
      </c>
      <c r="H83" s="14">
        <f t="shared" si="15"/>
        <v>96970</v>
      </c>
      <c r="I83" s="14">
        <f t="shared" si="15"/>
        <v>97055</v>
      </c>
      <c r="J83" s="14">
        <f t="shared" si="15"/>
        <v>97198</v>
      </c>
      <c r="K83" s="14">
        <f t="shared" si="15"/>
        <v>97343</v>
      </c>
    </row>
    <row r="84" spans="1:1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>
      <c r="A85" s="12" t="s">
        <v>68</v>
      </c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>
      <c r="A86" s="8" t="s">
        <v>69</v>
      </c>
      <c r="B86" s="8">
        <v>485</v>
      </c>
      <c r="C86" s="8">
        <v>485</v>
      </c>
      <c r="D86" s="8">
        <v>485</v>
      </c>
      <c r="E86" s="8">
        <v>485</v>
      </c>
      <c r="F86" s="8">
        <v>485</v>
      </c>
      <c r="G86" s="8">
        <v>485</v>
      </c>
      <c r="H86" s="8">
        <v>485</v>
      </c>
      <c r="I86" s="8">
        <v>485</v>
      </c>
      <c r="J86" s="8">
        <v>485</v>
      </c>
      <c r="K86" s="8">
        <v>485</v>
      </c>
    </row>
    <row r="87" spans="1:11">
      <c r="A87" s="8" t="s">
        <v>70</v>
      </c>
      <c r="B87" s="8">
        <v>167</v>
      </c>
      <c r="C87" s="8">
        <v>176</v>
      </c>
      <c r="D87" s="8">
        <v>135</v>
      </c>
      <c r="E87" s="8">
        <v>142</v>
      </c>
      <c r="F87" s="8">
        <v>105</v>
      </c>
      <c r="G87" s="8">
        <v>66</v>
      </c>
      <c r="H87" s="8">
        <v>25</v>
      </c>
      <c r="I87" s="8">
        <v>25</v>
      </c>
      <c r="J87" s="8">
        <v>19</v>
      </c>
      <c r="K87" s="8"/>
    </row>
    <row r="88" spans="1:11">
      <c r="A88" s="18" t="s">
        <v>71</v>
      </c>
      <c r="B88" s="8">
        <v>1490</v>
      </c>
      <c r="C88" s="8">
        <v>1490</v>
      </c>
      <c r="D88" s="8">
        <v>1490</v>
      </c>
      <c r="E88" s="8">
        <v>1490</v>
      </c>
      <c r="F88" s="8">
        <v>1490</v>
      </c>
      <c r="G88" s="8">
        <v>1490</v>
      </c>
      <c r="H88" s="8">
        <v>1490</v>
      </c>
      <c r="I88" s="8">
        <v>1490</v>
      </c>
      <c r="J88" s="8">
        <v>1490</v>
      </c>
      <c r="K88" s="8">
        <v>1490</v>
      </c>
    </row>
    <row r="89" spans="1:11">
      <c r="A89" s="8" t="s">
        <v>72</v>
      </c>
      <c r="B89" s="8">
        <v>555</v>
      </c>
      <c r="C89" s="8">
        <v>555</v>
      </c>
      <c r="D89" s="8">
        <v>555</v>
      </c>
      <c r="E89" s="8">
        <v>555</v>
      </c>
      <c r="F89" s="8">
        <v>555</v>
      </c>
      <c r="G89" s="8">
        <v>555</v>
      </c>
      <c r="H89" s="8">
        <v>555</v>
      </c>
      <c r="I89" s="8">
        <v>555</v>
      </c>
      <c r="J89" s="8">
        <v>555</v>
      </c>
      <c r="K89" s="8">
        <v>555</v>
      </c>
    </row>
    <row r="90" spans="1:11">
      <c r="A90" s="12" t="s">
        <v>73</v>
      </c>
      <c r="B90" s="15">
        <f t="shared" ref="B90:K90" si="16">SUM(B86:B89)</f>
        <v>2697</v>
      </c>
      <c r="C90" s="15">
        <f t="shared" si="16"/>
        <v>2706</v>
      </c>
      <c r="D90" s="15">
        <f t="shared" si="16"/>
        <v>2665</v>
      </c>
      <c r="E90" s="15">
        <f t="shared" si="16"/>
        <v>2672</v>
      </c>
      <c r="F90" s="15">
        <f t="shared" si="16"/>
        <v>2635</v>
      </c>
      <c r="G90" s="15">
        <f t="shared" si="16"/>
        <v>2596</v>
      </c>
      <c r="H90" s="15">
        <f t="shared" si="16"/>
        <v>2555</v>
      </c>
      <c r="I90" s="15">
        <f t="shared" si="16"/>
        <v>2555</v>
      </c>
      <c r="J90" s="15">
        <f t="shared" si="16"/>
        <v>2549</v>
      </c>
      <c r="K90" s="15">
        <f t="shared" si="16"/>
        <v>2530</v>
      </c>
    </row>
    <row r="91" spans="1:1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>
      <c r="A92" s="12" t="s">
        <v>74</v>
      </c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>
      <c r="A93" s="8" t="s">
        <v>69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>
      <c r="A94" s="8" t="s">
        <v>70</v>
      </c>
      <c r="B94" s="8">
        <v>667</v>
      </c>
      <c r="C94" s="8">
        <v>490</v>
      </c>
      <c r="D94" s="8">
        <v>355</v>
      </c>
      <c r="E94" s="8">
        <v>211</v>
      </c>
      <c r="F94" s="8">
        <v>114</v>
      </c>
      <c r="G94" s="8">
        <v>69</v>
      </c>
      <c r="H94" s="8">
        <v>44</v>
      </c>
      <c r="I94" s="8">
        <v>19</v>
      </c>
      <c r="J94" s="8"/>
      <c r="K94" s="8"/>
    </row>
    <row r="95" spans="1:11">
      <c r="A95" s="8" t="s">
        <v>72</v>
      </c>
      <c r="B95" s="8">
        <v>66</v>
      </c>
      <c r="C95" s="8">
        <v>66</v>
      </c>
      <c r="D95" s="8">
        <v>66</v>
      </c>
      <c r="E95" s="8">
        <v>66</v>
      </c>
      <c r="F95" s="8">
        <v>66</v>
      </c>
      <c r="G95" s="8">
        <v>66</v>
      </c>
      <c r="H95" s="8">
        <v>66</v>
      </c>
      <c r="I95" s="8">
        <v>66</v>
      </c>
      <c r="J95" s="8">
        <v>66</v>
      </c>
      <c r="K95" s="8">
        <v>66</v>
      </c>
    </row>
    <row r="96" spans="1:11">
      <c r="A96" s="12" t="s">
        <v>75</v>
      </c>
      <c r="B96" s="13">
        <f t="shared" ref="B96:K96" si="17">SUM(B93:B95)</f>
        <v>733</v>
      </c>
      <c r="C96" s="13">
        <f t="shared" si="17"/>
        <v>556</v>
      </c>
      <c r="D96" s="13">
        <f t="shared" si="17"/>
        <v>421</v>
      </c>
      <c r="E96" s="13">
        <f t="shared" si="17"/>
        <v>277</v>
      </c>
      <c r="F96" s="13">
        <f t="shared" si="17"/>
        <v>180</v>
      </c>
      <c r="G96" s="13">
        <f t="shared" si="17"/>
        <v>135</v>
      </c>
      <c r="H96" s="13">
        <f t="shared" si="17"/>
        <v>110</v>
      </c>
      <c r="I96" s="13">
        <f t="shared" si="17"/>
        <v>85</v>
      </c>
      <c r="J96" s="13">
        <f t="shared" si="17"/>
        <v>66</v>
      </c>
      <c r="K96" s="13">
        <f t="shared" si="17"/>
        <v>66</v>
      </c>
    </row>
    <row r="97" spans="1:11" ht="15.75" thickBot="1">
      <c r="A97" s="12" t="s">
        <v>76</v>
      </c>
      <c r="B97" s="14">
        <f t="shared" ref="B97:K97" si="18">B90+B96</f>
        <v>3430</v>
      </c>
      <c r="C97" s="14">
        <f t="shared" si="18"/>
        <v>3262</v>
      </c>
      <c r="D97" s="14">
        <f t="shared" si="18"/>
        <v>3086</v>
      </c>
      <c r="E97" s="14">
        <f t="shared" si="18"/>
        <v>2949</v>
      </c>
      <c r="F97" s="14">
        <f t="shared" si="18"/>
        <v>2815</v>
      </c>
      <c r="G97" s="14">
        <f t="shared" si="18"/>
        <v>2731</v>
      </c>
      <c r="H97" s="14">
        <f t="shared" si="18"/>
        <v>2665</v>
      </c>
      <c r="I97" s="14">
        <f t="shared" si="18"/>
        <v>2640</v>
      </c>
      <c r="J97" s="14">
        <f t="shared" si="18"/>
        <v>2615</v>
      </c>
      <c r="K97" s="14">
        <f t="shared" si="18"/>
        <v>2596</v>
      </c>
    </row>
    <row r="98" spans="1:1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ht="15.75" thickBot="1">
      <c r="A99" s="12" t="s">
        <v>77</v>
      </c>
      <c r="B99" s="16">
        <f t="shared" ref="B99:K99" si="19">B83-B97</f>
        <v>94483</v>
      </c>
      <c r="C99" s="16">
        <f t="shared" si="19"/>
        <v>94438</v>
      </c>
      <c r="D99" s="16">
        <f t="shared" si="19"/>
        <v>94379</v>
      </c>
      <c r="E99" s="16">
        <f t="shared" si="19"/>
        <v>94361</v>
      </c>
      <c r="F99" s="16">
        <f t="shared" si="19"/>
        <v>94284</v>
      </c>
      <c r="G99" s="16">
        <f t="shared" si="19"/>
        <v>94268</v>
      </c>
      <c r="H99" s="16">
        <f t="shared" si="19"/>
        <v>94305</v>
      </c>
      <c r="I99" s="16">
        <f t="shared" si="19"/>
        <v>94415</v>
      </c>
      <c r="J99" s="16">
        <f t="shared" si="19"/>
        <v>94583</v>
      </c>
      <c r="K99" s="16">
        <f t="shared" si="19"/>
        <v>94747</v>
      </c>
    </row>
    <row r="100" spans="1:1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>
      <c r="A101" s="12" t="s">
        <v>78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>
      <c r="A102" s="8" t="s">
        <v>79</v>
      </c>
      <c r="B102" s="8">
        <f>35999+872</f>
        <v>36871</v>
      </c>
      <c r="C102" s="8">
        <f>B102-45</f>
        <v>36826</v>
      </c>
      <c r="D102" s="8">
        <f>C102-59</f>
        <v>36767</v>
      </c>
      <c r="E102" s="8">
        <f>D102-18</f>
        <v>36749</v>
      </c>
      <c r="F102" s="8">
        <f>E102-77</f>
        <v>36672</v>
      </c>
      <c r="G102" s="8">
        <f>F102-16</f>
        <v>36656</v>
      </c>
      <c r="H102" s="8">
        <f>G102+37</f>
        <v>36693</v>
      </c>
      <c r="I102" s="8">
        <f>H102+110</f>
        <v>36803</v>
      </c>
      <c r="J102" s="8">
        <f>I102+168</f>
        <v>36971</v>
      </c>
      <c r="K102" s="8">
        <f>J102+164</f>
        <v>37135</v>
      </c>
    </row>
    <row r="103" spans="1:11">
      <c r="A103" s="8" t="s">
        <v>80</v>
      </c>
      <c r="B103" s="8">
        <v>57612</v>
      </c>
      <c r="C103" s="8">
        <v>57612</v>
      </c>
      <c r="D103" s="8">
        <v>57612</v>
      </c>
      <c r="E103" s="8">
        <v>57612</v>
      </c>
      <c r="F103" s="8">
        <v>57612</v>
      </c>
      <c r="G103" s="8">
        <v>57612</v>
      </c>
      <c r="H103" s="8">
        <v>57612</v>
      </c>
      <c r="I103" s="8">
        <v>57612</v>
      </c>
      <c r="J103" s="8">
        <v>57612</v>
      </c>
      <c r="K103" s="8">
        <v>57612</v>
      </c>
    </row>
    <row r="104" spans="1:11">
      <c r="A104" s="8" t="s">
        <v>81</v>
      </c>
      <c r="B104" s="17">
        <f t="shared" ref="B104:K104" si="20">SUM(B102:B103)</f>
        <v>94483</v>
      </c>
      <c r="C104" s="17">
        <f t="shared" si="20"/>
        <v>94438</v>
      </c>
      <c r="D104" s="17">
        <f t="shared" si="20"/>
        <v>94379</v>
      </c>
      <c r="E104" s="17">
        <f t="shared" si="20"/>
        <v>94361</v>
      </c>
      <c r="F104" s="17">
        <f t="shared" si="20"/>
        <v>94284</v>
      </c>
      <c r="G104" s="17">
        <f t="shared" si="20"/>
        <v>94268</v>
      </c>
      <c r="H104" s="17">
        <f t="shared" si="20"/>
        <v>94305</v>
      </c>
      <c r="I104" s="17">
        <f t="shared" si="20"/>
        <v>94415</v>
      </c>
      <c r="J104" s="17">
        <f t="shared" si="20"/>
        <v>94583</v>
      </c>
      <c r="K104" s="17">
        <f t="shared" si="20"/>
        <v>94747</v>
      </c>
    </row>
    <row r="105" spans="1:11">
      <c r="A105" s="8" t="s">
        <v>82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ht="15.75" thickBot="1">
      <c r="A106" s="12" t="s">
        <v>83</v>
      </c>
      <c r="B106" s="16">
        <f t="shared" ref="B106:K106" si="21">SUM(B104:B105)</f>
        <v>94483</v>
      </c>
      <c r="C106" s="16">
        <f t="shared" si="21"/>
        <v>94438</v>
      </c>
      <c r="D106" s="16">
        <f t="shared" si="21"/>
        <v>94379</v>
      </c>
      <c r="E106" s="16">
        <f t="shared" si="21"/>
        <v>94361</v>
      </c>
      <c r="F106" s="16">
        <f t="shared" si="21"/>
        <v>94284</v>
      </c>
      <c r="G106" s="16">
        <f t="shared" si="21"/>
        <v>94268</v>
      </c>
      <c r="H106" s="16">
        <f t="shared" si="21"/>
        <v>94305</v>
      </c>
      <c r="I106" s="16">
        <f t="shared" si="21"/>
        <v>94415</v>
      </c>
      <c r="J106" s="16">
        <f t="shared" si="21"/>
        <v>94583</v>
      </c>
      <c r="K106" s="16">
        <f t="shared" si="21"/>
        <v>94747</v>
      </c>
    </row>
    <row r="109" spans="1:11" ht="15.75">
      <c r="A109" s="29" t="s">
        <v>127</v>
      </c>
    </row>
    <row r="110" spans="1:11">
      <c r="B110" s="2" t="s">
        <v>1</v>
      </c>
      <c r="C110" s="2" t="s">
        <v>2</v>
      </c>
      <c r="D110" s="2" t="s">
        <v>3</v>
      </c>
      <c r="E110" s="2" t="s">
        <v>4</v>
      </c>
      <c r="F110" s="2" t="s">
        <v>5</v>
      </c>
      <c r="G110" s="2" t="s">
        <v>6</v>
      </c>
      <c r="H110" s="2" t="s">
        <v>7</v>
      </c>
      <c r="I110" s="2" t="s">
        <v>8</v>
      </c>
      <c r="J110" s="2" t="s">
        <v>9</v>
      </c>
      <c r="K110" s="2" t="s">
        <v>10</v>
      </c>
    </row>
    <row r="112" spans="1:11">
      <c r="A112" s="1" t="s">
        <v>111</v>
      </c>
    </row>
    <row r="113" spans="1:11">
      <c r="A113" s="21" t="s">
        <v>96</v>
      </c>
    </row>
    <row r="114" spans="1:11">
      <c r="A114" t="s">
        <v>110</v>
      </c>
      <c r="B114">
        <v>1763827</v>
      </c>
      <c r="C114">
        <v>1933666</v>
      </c>
      <c r="D114">
        <v>1991300</v>
      </c>
      <c r="E114">
        <v>2050662</v>
      </c>
      <c r="F114">
        <v>2111806</v>
      </c>
      <c r="G114">
        <v>2174783</v>
      </c>
      <c r="H114">
        <v>2239650</v>
      </c>
      <c r="I114">
        <v>2306464</v>
      </c>
      <c r="J114">
        <v>2375281</v>
      </c>
      <c r="K114">
        <v>2446163</v>
      </c>
    </row>
    <row r="115" spans="1:11">
      <c r="A115" t="s">
        <v>109</v>
      </c>
      <c r="B115">
        <v>1753769</v>
      </c>
      <c r="C115">
        <v>1826188</v>
      </c>
      <c r="D115">
        <v>1844785</v>
      </c>
      <c r="E115">
        <v>1869079</v>
      </c>
      <c r="F115">
        <v>1893092</v>
      </c>
      <c r="G115">
        <v>1918345</v>
      </c>
      <c r="H115">
        <v>1944362</v>
      </c>
      <c r="I115">
        <v>1971165</v>
      </c>
      <c r="J115">
        <v>1999278</v>
      </c>
      <c r="K115">
        <v>2027227</v>
      </c>
    </row>
    <row r="116" spans="1:11">
      <c r="A116" t="s">
        <v>108</v>
      </c>
      <c r="B116">
        <v>111850</v>
      </c>
      <c r="C116">
        <v>103605</v>
      </c>
      <c r="D116">
        <v>95264</v>
      </c>
      <c r="E116">
        <v>86822</v>
      </c>
      <c r="F116">
        <v>83276</v>
      </c>
      <c r="G116">
        <v>79625</v>
      </c>
      <c r="H116">
        <v>80863</v>
      </c>
      <c r="I116">
        <v>81989</v>
      </c>
      <c r="J116">
        <v>82999</v>
      </c>
      <c r="K116">
        <v>78889</v>
      </c>
    </row>
    <row r="117" spans="1:11">
      <c r="A117" t="s">
        <v>107</v>
      </c>
      <c r="B117">
        <v>4757270</v>
      </c>
      <c r="C117">
        <v>3835654</v>
      </c>
      <c r="D117">
        <v>3889784</v>
      </c>
      <c r="E117">
        <v>3954491</v>
      </c>
      <c r="F117">
        <v>4059212</v>
      </c>
      <c r="G117">
        <v>4158534</v>
      </c>
      <c r="H117">
        <v>4268346</v>
      </c>
      <c r="I117">
        <v>4371442</v>
      </c>
      <c r="J117">
        <v>4490216</v>
      </c>
      <c r="K117">
        <v>4599968</v>
      </c>
    </row>
    <row r="118" spans="1:11">
      <c r="A118" t="s">
        <v>106</v>
      </c>
      <c r="B118">
        <v>248447</v>
      </c>
      <c r="C118">
        <v>110026</v>
      </c>
      <c r="D118">
        <v>112000</v>
      </c>
      <c r="E118">
        <v>114032</v>
      </c>
      <c r="F118">
        <v>116127</v>
      </c>
      <c r="G118">
        <v>118284</v>
      </c>
      <c r="H118">
        <v>120841</v>
      </c>
      <c r="I118">
        <v>123129</v>
      </c>
      <c r="J118">
        <v>125486</v>
      </c>
      <c r="K118">
        <v>127914</v>
      </c>
    </row>
    <row r="119" spans="1:11">
      <c r="A119" s="21" t="s">
        <v>94</v>
      </c>
    </row>
    <row r="120" spans="1:11">
      <c r="A120" t="s">
        <v>105</v>
      </c>
      <c r="B120">
        <v>-3117943</v>
      </c>
      <c r="C120">
        <v>-3186691</v>
      </c>
      <c r="D120">
        <v>-3282362</v>
      </c>
      <c r="E120">
        <v>-3381044</v>
      </c>
      <c r="F120">
        <v>-3487825</v>
      </c>
      <c r="G120">
        <v>-3597799</v>
      </c>
      <c r="H120">
        <v>-3711062</v>
      </c>
      <c r="I120">
        <v>-3827710</v>
      </c>
      <c r="J120">
        <v>-3947847</v>
      </c>
      <c r="K120">
        <v>-4071575</v>
      </c>
    </row>
    <row r="121" spans="1:11">
      <c r="A121" t="s">
        <v>104</v>
      </c>
      <c r="B121">
        <v>-1267476</v>
      </c>
      <c r="C121">
        <v>-1272951</v>
      </c>
      <c r="D121">
        <v>-1301147</v>
      </c>
      <c r="E121">
        <v>-1285872</v>
      </c>
      <c r="F121">
        <v>-1409933</v>
      </c>
      <c r="G121">
        <v>-1403699</v>
      </c>
      <c r="H121">
        <v>-1419272</v>
      </c>
      <c r="I121">
        <v>-1403918</v>
      </c>
      <c r="J121">
        <v>-1416455</v>
      </c>
      <c r="K121">
        <v>-1474596</v>
      </c>
    </row>
    <row r="122" spans="1:11">
      <c r="A122" t="s">
        <v>103</v>
      </c>
      <c r="B122">
        <v>-58524</v>
      </c>
      <c r="C122">
        <v>-48983</v>
      </c>
      <c r="D122">
        <v>-38295</v>
      </c>
      <c r="E122">
        <v>-28273</v>
      </c>
      <c r="F122">
        <v>-19343</v>
      </c>
      <c r="G122">
        <v>-11339</v>
      </c>
      <c r="H122">
        <v>-6166</v>
      </c>
      <c r="I122">
        <v>-2867</v>
      </c>
      <c r="J122">
        <v>-1617</v>
      </c>
      <c r="K122">
        <v>-393</v>
      </c>
    </row>
    <row r="123" spans="1:11">
      <c r="A123" t="s">
        <v>102</v>
      </c>
      <c r="B123">
        <v>-660319</v>
      </c>
      <c r="C123">
        <v>-679863</v>
      </c>
      <c r="D123">
        <v>-699994</v>
      </c>
      <c r="E123">
        <v>-720728</v>
      </c>
      <c r="F123">
        <v>-742084</v>
      </c>
      <c r="G123">
        <v>-764081</v>
      </c>
      <c r="H123">
        <v>-786738</v>
      </c>
      <c r="I123">
        <v>-810075</v>
      </c>
      <c r="J123">
        <v>-834111</v>
      </c>
      <c r="K123">
        <v>-858869</v>
      </c>
    </row>
    <row r="124" spans="1:11" ht="30">
      <c r="A124" s="36" t="s">
        <v>101</v>
      </c>
      <c r="B124" s="5">
        <f>SUM(B114:B123)</f>
        <v>3530901</v>
      </c>
      <c r="C124" s="5">
        <f t="shared" ref="C124:K124" si="22">SUM(C114:C123)</f>
        <v>2620651</v>
      </c>
      <c r="D124" s="5">
        <f t="shared" si="22"/>
        <v>2611335</v>
      </c>
      <c r="E124" s="5">
        <f t="shared" si="22"/>
        <v>2659169</v>
      </c>
      <c r="F124" s="5">
        <f t="shared" si="22"/>
        <v>2604328</v>
      </c>
      <c r="G124" s="5">
        <f t="shared" si="22"/>
        <v>2672653</v>
      </c>
      <c r="H124" s="5">
        <f t="shared" si="22"/>
        <v>2730824</v>
      </c>
      <c r="I124" s="5">
        <f t="shared" si="22"/>
        <v>2809619</v>
      </c>
      <c r="J124" s="5">
        <f t="shared" si="22"/>
        <v>2873230</v>
      </c>
      <c r="K124" s="5">
        <f t="shared" si="22"/>
        <v>2874728</v>
      </c>
    </row>
    <row r="126" spans="1:11">
      <c r="A126" s="1" t="s">
        <v>100</v>
      </c>
    </row>
    <row r="127" spans="1:11">
      <c r="A127" s="21" t="s">
        <v>96</v>
      </c>
    </row>
    <row r="128" spans="1:11">
      <c r="A128" t="s">
        <v>99</v>
      </c>
      <c r="B128">
        <v>456000</v>
      </c>
      <c r="C128">
        <v>547000</v>
      </c>
      <c r="D128">
        <v>401000</v>
      </c>
      <c r="E128">
        <v>562000</v>
      </c>
      <c r="F128">
        <v>331000</v>
      </c>
      <c r="G128">
        <v>327000</v>
      </c>
      <c r="H128">
        <v>390000</v>
      </c>
      <c r="I128">
        <v>419000</v>
      </c>
      <c r="J128">
        <v>659000</v>
      </c>
      <c r="K128">
        <v>456000</v>
      </c>
    </row>
    <row r="129" spans="1:11">
      <c r="A129" s="21" t="s">
        <v>94</v>
      </c>
    </row>
    <row r="130" spans="1:11">
      <c r="A130" t="s">
        <v>98</v>
      </c>
      <c r="B130">
        <v>-3981650</v>
      </c>
      <c r="C130">
        <v>-3002722</v>
      </c>
      <c r="D130">
        <v>-2890133</v>
      </c>
      <c r="E130">
        <v>-3177292</v>
      </c>
      <c r="F130">
        <v>-2935862</v>
      </c>
      <c r="G130">
        <v>-3197689</v>
      </c>
      <c r="H130">
        <v>-3069747</v>
      </c>
      <c r="I130">
        <v>-3094011</v>
      </c>
      <c r="J130">
        <v>-3357004</v>
      </c>
      <c r="K130">
        <v>-3369746</v>
      </c>
    </row>
    <row r="132" spans="1:11" ht="30">
      <c r="A132" s="36" t="s">
        <v>30</v>
      </c>
      <c r="B132" s="5">
        <f>SUM(B128:B131)</f>
        <v>-3525650</v>
      </c>
      <c r="C132" s="5">
        <f t="shared" ref="C132:K132" si="23">SUM(C128:C131)</f>
        <v>-2455722</v>
      </c>
      <c r="D132" s="5">
        <f t="shared" si="23"/>
        <v>-2489133</v>
      </c>
      <c r="E132" s="5">
        <f t="shared" si="23"/>
        <v>-2615292</v>
      </c>
      <c r="F132" s="5">
        <f t="shared" si="23"/>
        <v>-2604862</v>
      </c>
      <c r="G132" s="5">
        <f t="shared" si="23"/>
        <v>-2870689</v>
      </c>
      <c r="H132" s="5">
        <f t="shared" si="23"/>
        <v>-2679747</v>
      </c>
      <c r="I132" s="5">
        <f t="shared" si="23"/>
        <v>-2675011</v>
      </c>
      <c r="J132" s="5">
        <f t="shared" si="23"/>
        <v>-2698004</v>
      </c>
      <c r="K132" s="5">
        <f t="shared" si="23"/>
        <v>-2913746</v>
      </c>
    </row>
    <row r="134" spans="1:11">
      <c r="A134" s="1" t="s">
        <v>97</v>
      </c>
    </row>
    <row r="135" spans="1:11">
      <c r="A135" s="21" t="s">
        <v>96</v>
      </c>
    </row>
    <row r="136" spans="1:11">
      <c r="A136" t="s">
        <v>95</v>
      </c>
    </row>
    <row r="137" spans="1:11">
      <c r="A137" s="21" t="s">
        <v>94</v>
      </c>
    </row>
    <row r="138" spans="1:11">
      <c r="A138" t="s">
        <v>93</v>
      </c>
      <c r="B138">
        <v>-159409</v>
      </c>
      <c r="C138">
        <v>-167534</v>
      </c>
      <c r="D138">
        <v>-176535</v>
      </c>
      <c r="E138">
        <v>-135874</v>
      </c>
      <c r="F138">
        <v>-135218</v>
      </c>
      <c r="G138">
        <v>-84053</v>
      </c>
      <c r="H138">
        <v>-65967</v>
      </c>
      <c r="I138">
        <v>-25000</v>
      </c>
      <c r="J138">
        <v>-25000</v>
      </c>
      <c r="K138">
        <v>-18750</v>
      </c>
    </row>
    <row r="139" spans="1:11" ht="30">
      <c r="A139" s="36" t="s">
        <v>31</v>
      </c>
      <c r="B139" s="5">
        <f>SUM(B136:B138)</f>
        <v>-159409</v>
      </c>
      <c r="C139" s="5">
        <f t="shared" ref="C139:K139" si="24">SUM(C136:C138)</f>
        <v>-167534</v>
      </c>
      <c r="D139" s="5">
        <f t="shared" si="24"/>
        <v>-176535</v>
      </c>
      <c r="E139" s="5">
        <f t="shared" si="24"/>
        <v>-135874</v>
      </c>
      <c r="F139" s="5">
        <f t="shared" si="24"/>
        <v>-135218</v>
      </c>
      <c r="G139" s="5">
        <f t="shared" si="24"/>
        <v>-84053</v>
      </c>
      <c r="H139" s="5">
        <f t="shared" si="24"/>
        <v>-65967</v>
      </c>
      <c r="I139" s="5">
        <f t="shared" si="24"/>
        <v>-25000</v>
      </c>
      <c r="J139" s="5">
        <f t="shared" si="24"/>
        <v>-25000</v>
      </c>
      <c r="K139" s="5">
        <f t="shared" si="24"/>
        <v>-18750</v>
      </c>
    </row>
    <row r="141" spans="1:11" ht="30">
      <c r="A141" s="36" t="s">
        <v>92</v>
      </c>
      <c r="B141" s="34">
        <f>B124+B132+B139</f>
        <v>-154158</v>
      </c>
      <c r="C141" s="34">
        <f t="shared" ref="C141:K141" si="25">C124+C132+C139</f>
        <v>-2605</v>
      </c>
      <c r="D141" s="34">
        <f t="shared" si="25"/>
        <v>-54333</v>
      </c>
      <c r="E141" s="34">
        <f t="shared" si="25"/>
        <v>-91997</v>
      </c>
      <c r="F141" s="34">
        <f t="shared" si="25"/>
        <v>-135752</v>
      </c>
      <c r="G141" s="34">
        <f t="shared" si="25"/>
        <v>-282089</v>
      </c>
      <c r="H141" s="34">
        <f t="shared" si="25"/>
        <v>-14890</v>
      </c>
      <c r="I141" s="34">
        <f t="shared" si="25"/>
        <v>109608</v>
      </c>
      <c r="J141" s="34">
        <f t="shared" si="25"/>
        <v>150226</v>
      </c>
      <c r="K141" s="34">
        <f t="shared" si="25"/>
        <v>-57768</v>
      </c>
    </row>
    <row r="143" spans="1:11">
      <c r="A143" t="s">
        <v>91</v>
      </c>
      <c r="B143">
        <v>192538</v>
      </c>
      <c r="C143">
        <f>B144</f>
        <v>38380</v>
      </c>
      <c r="D143">
        <f t="shared" ref="D143:K143" si="26">C144</f>
        <v>35775</v>
      </c>
      <c r="E143">
        <f t="shared" si="26"/>
        <v>-18558</v>
      </c>
      <c r="F143">
        <f t="shared" si="26"/>
        <v>-110555</v>
      </c>
      <c r="G143">
        <f t="shared" si="26"/>
        <v>-246307</v>
      </c>
      <c r="H143">
        <f t="shared" si="26"/>
        <v>-528396</v>
      </c>
      <c r="I143">
        <f t="shared" si="26"/>
        <v>-543286</v>
      </c>
      <c r="J143">
        <f t="shared" si="26"/>
        <v>-433678</v>
      </c>
      <c r="K143">
        <f t="shared" si="26"/>
        <v>-283452</v>
      </c>
    </row>
    <row r="144" spans="1:11">
      <c r="A144" s="1" t="s">
        <v>115</v>
      </c>
      <c r="B144" s="37">
        <f>SUM(B141:B143)</f>
        <v>38380</v>
      </c>
      <c r="C144" s="37">
        <f t="shared" ref="C144:K144" si="27">SUM(C141:C143)</f>
        <v>35775</v>
      </c>
      <c r="D144" s="37">
        <f t="shared" si="27"/>
        <v>-18558</v>
      </c>
      <c r="E144" s="37">
        <f t="shared" si="27"/>
        <v>-110555</v>
      </c>
      <c r="F144" s="37">
        <f t="shared" si="27"/>
        <v>-246307</v>
      </c>
      <c r="G144" s="37">
        <f t="shared" si="27"/>
        <v>-528396</v>
      </c>
      <c r="H144" s="37">
        <f t="shared" si="27"/>
        <v>-543286</v>
      </c>
      <c r="I144" s="37">
        <f t="shared" si="27"/>
        <v>-433678</v>
      </c>
      <c r="J144" s="37">
        <f t="shared" si="27"/>
        <v>-283452</v>
      </c>
      <c r="K144" s="37">
        <f t="shared" si="27"/>
        <v>-341220</v>
      </c>
    </row>
    <row r="146" spans="1:11">
      <c r="A146" t="s">
        <v>90</v>
      </c>
      <c r="B146">
        <v>660000</v>
      </c>
      <c r="C146">
        <v>660000</v>
      </c>
      <c r="D146">
        <v>660000</v>
      </c>
      <c r="E146">
        <v>660000</v>
      </c>
      <c r="F146">
        <v>660000</v>
      </c>
      <c r="G146">
        <v>660000</v>
      </c>
      <c r="H146">
        <v>660000</v>
      </c>
      <c r="I146">
        <v>660000</v>
      </c>
      <c r="J146">
        <v>660000</v>
      </c>
      <c r="K146">
        <v>660000</v>
      </c>
    </row>
    <row r="147" spans="1:11">
      <c r="A147" t="s">
        <v>89</v>
      </c>
      <c r="B147">
        <v>100000</v>
      </c>
      <c r="C147">
        <v>210000</v>
      </c>
      <c r="D147">
        <v>270000</v>
      </c>
      <c r="E147">
        <v>270000</v>
      </c>
      <c r="F147">
        <v>270000</v>
      </c>
      <c r="G147">
        <v>0</v>
      </c>
      <c r="H147">
        <v>70000</v>
      </c>
      <c r="I147">
        <v>140000</v>
      </c>
      <c r="J147">
        <v>210000</v>
      </c>
      <c r="K147">
        <v>280000</v>
      </c>
    </row>
    <row r="148" spans="1:11">
      <c r="A148" t="s">
        <v>88</v>
      </c>
      <c r="B148">
        <v>733023</v>
      </c>
      <c r="C148">
        <v>733023</v>
      </c>
      <c r="D148">
        <v>733023</v>
      </c>
      <c r="E148">
        <v>733023</v>
      </c>
      <c r="F148">
        <v>733023</v>
      </c>
      <c r="G148">
        <v>733023</v>
      </c>
      <c r="H148">
        <v>733023</v>
      </c>
      <c r="I148">
        <v>733023</v>
      </c>
      <c r="J148">
        <v>733023</v>
      </c>
      <c r="K148">
        <v>733023</v>
      </c>
    </row>
    <row r="149" spans="1:11">
      <c r="A149" t="s">
        <v>87</v>
      </c>
      <c r="B149">
        <v>68000</v>
      </c>
      <c r="C149">
        <v>68000</v>
      </c>
      <c r="D149">
        <v>68000</v>
      </c>
      <c r="E149">
        <v>68000</v>
      </c>
      <c r="F149">
        <v>68000</v>
      </c>
      <c r="G149">
        <v>68000</v>
      </c>
      <c r="H149">
        <v>53000</v>
      </c>
      <c r="I149">
        <v>53000</v>
      </c>
      <c r="J149">
        <v>53000</v>
      </c>
      <c r="K149">
        <v>35000</v>
      </c>
    </row>
    <row r="150" spans="1:11">
      <c r="A150" t="s">
        <v>86</v>
      </c>
    </row>
    <row r="151" spans="1:11">
      <c r="A151" t="s">
        <v>85</v>
      </c>
      <c r="B151">
        <v>400180</v>
      </c>
      <c r="C151">
        <v>400180</v>
      </c>
      <c r="D151">
        <v>400180</v>
      </c>
      <c r="E151">
        <v>400180</v>
      </c>
      <c r="F151">
        <v>400180</v>
      </c>
      <c r="G151">
        <v>400180</v>
      </c>
      <c r="H151">
        <v>400180</v>
      </c>
      <c r="I151">
        <v>400180</v>
      </c>
      <c r="J151">
        <v>400180</v>
      </c>
      <c r="K151">
        <v>400180</v>
      </c>
    </row>
    <row r="152" spans="1:11">
      <c r="A152" s="1" t="s">
        <v>84</v>
      </c>
      <c r="B152" s="23">
        <f>SUM(B144:B151)</f>
        <v>1999583</v>
      </c>
      <c r="C152" s="23">
        <f t="shared" ref="C152:K152" si="28">SUM(C144:C151)</f>
        <v>2106978</v>
      </c>
      <c r="D152" s="23">
        <f t="shared" si="28"/>
        <v>2112645</v>
      </c>
      <c r="E152" s="23">
        <f t="shared" si="28"/>
        <v>2020648</v>
      </c>
      <c r="F152" s="23">
        <f t="shared" si="28"/>
        <v>1884896</v>
      </c>
      <c r="G152" s="23">
        <f t="shared" si="28"/>
        <v>1332807</v>
      </c>
      <c r="H152" s="23">
        <f t="shared" si="28"/>
        <v>1372917</v>
      </c>
      <c r="I152" s="23">
        <f t="shared" si="28"/>
        <v>1552525</v>
      </c>
      <c r="J152" s="23">
        <f t="shared" si="28"/>
        <v>1772751</v>
      </c>
      <c r="K152" s="23">
        <f t="shared" si="28"/>
        <v>1766983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headerFooter>
    <oddHeader>&amp;C&amp;"-,Bold"JERILDERIE SHIRE COUNCIL</oddHeader>
    <oddFooter>&amp;C&amp;A&amp;R&amp;P</oddFooter>
  </headerFooter>
  <rowBreaks count="5" manualBreakCount="5">
    <brk id="29" max="16383" man="1"/>
    <brk id="54" max="16383" man="1"/>
    <brk id="83" max="16383" man="1"/>
    <brk id="107" max="16383" man="1"/>
    <brk id="1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153"/>
  <sheetViews>
    <sheetView topLeftCell="A133" workbookViewId="0">
      <selection activeCell="E159" sqref="E159"/>
    </sheetView>
  </sheetViews>
  <sheetFormatPr defaultRowHeight="15"/>
  <cols>
    <col min="1" max="1" width="36.140625" customWidth="1"/>
    <col min="2" max="3" width="10.42578125" customWidth="1"/>
    <col min="4" max="4" width="9.42578125" customWidth="1"/>
    <col min="5" max="5" width="9.28515625" customWidth="1"/>
    <col min="6" max="6" width="9.7109375" customWidth="1"/>
    <col min="7" max="7" width="10.85546875" customWidth="1"/>
    <col min="8" max="11" width="10.7109375" customWidth="1"/>
  </cols>
  <sheetData>
    <row r="1" spans="1:11" ht="15.75">
      <c r="A1" s="29" t="s">
        <v>0</v>
      </c>
    </row>
    <row r="3" spans="1:11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>
      <c r="A4" s="1" t="s">
        <v>11</v>
      </c>
    </row>
    <row r="5" spans="1:11">
      <c r="A5" t="s">
        <v>12</v>
      </c>
      <c r="B5">
        <v>1763827</v>
      </c>
      <c r="C5">
        <v>1933666</v>
      </c>
      <c r="D5">
        <v>2120883</v>
      </c>
      <c r="E5">
        <v>2184133</v>
      </c>
      <c r="F5">
        <v>2249281</v>
      </c>
      <c r="G5">
        <v>2316383</v>
      </c>
      <c r="H5">
        <v>2385498</v>
      </c>
      <c r="I5">
        <v>2456687</v>
      </c>
      <c r="J5">
        <v>2530011</v>
      </c>
      <c r="K5">
        <v>2605535</v>
      </c>
    </row>
    <row r="6" spans="1:11">
      <c r="A6" t="s">
        <v>13</v>
      </c>
      <c r="B6">
        <v>1753769</v>
      </c>
      <c r="C6">
        <v>1826188</v>
      </c>
      <c r="D6">
        <v>1844785</v>
      </c>
      <c r="E6">
        <v>1869079</v>
      </c>
      <c r="F6">
        <v>1893092</v>
      </c>
      <c r="G6">
        <v>1918345</v>
      </c>
      <c r="H6">
        <v>1944362</v>
      </c>
      <c r="I6">
        <v>1971165</v>
      </c>
      <c r="J6">
        <v>1999278</v>
      </c>
      <c r="K6">
        <v>2027227</v>
      </c>
    </row>
    <row r="7" spans="1:11">
      <c r="A7" t="s">
        <v>14</v>
      </c>
      <c r="B7">
        <v>111850</v>
      </c>
      <c r="C7">
        <v>103605</v>
      </c>
      <c r="D7">
        <v>95264</v>
      </c>
      <c r="E7">
        <v>86822</v>
      </c>
      <c r="F7">
        <v>83276</v>
      </c>
      <c r="G7">
        <v>79625</v>
      </c>
      <c r="H7">
        <v>80863</v>
      </c>
      <c r="I7">
        <v>81989</v>
      </c>
      <c r="J7">
        <v>82999</v>
      </c>
      <c r="K7">
        <v>78889</v>
      </c>
    </row>
    <row r="8" spans="1:11">
      <c r="A8" t="s">
        <v>15</v>
      </c>
      <c r="B8">
        <v>2916470</v>
      </c>
      <c r="C8">
        <v>3017182</v>
      </c>
      <c r="D8">
        <v>3087827</v>
      </c>
      <c r="E8">
        <v>3191180</v>
      </c>
      <c r="F8">
        <v>3268119</v>
      </c>
      <c r="G8">
        <v>3379426</v>
      </c>
      <c r="H8">
        <v>3460983</v>
      </c>
      <c r="I8">
        <v>3575575</v>
      </c>
      <c r="J8">
        <v>3665592</v>
      </c>
      <c r="K8">
        <v>3786322</v>
      </c>
    </row>
    <row r="9" spans="1:11">
      <c r="A9" t="s">
        <v>16</v>
      </c>
      <c r="B9">
        <v>248447</v>
      </c>
      <c r="C9">
        <v>110025</v>
      </c>
      <c r="D9">
        <v>112000</v>
      </c>
      <c r="E9">
        <v>114033</v>
      </c>
      <c r="F9">
        <v>116127</v>
      </c>
      <c r="G9">
        <v>118284</v>
      </c>
      <c r="H9">
        <v>120841</v>
      </c>
      <c r="I9">
        <v>123129</v>
      </c>
      <c r="J9">
        <v>125486</v>
      </c>
      <c r="K9">
        <v>127914</v>
      </c>
    </row>
    <row r="10" spans="1:11">
      <c r="A10" t="s">
        <v>17</v>
      </c>
      <c r="B10">
        <v>24598</v>
      </c>
      <c r="C10">
        <v>25336</v>
      </c>
      <c r="D10">
        <v>26096</v>
      </c>
      <c r="E10">
        <v>26879</v>
      </c>
      <c r="F10">
        <v>27685</v>
      </c>
      <c r="G10">
        <v>28516</v>
      </c>
      <c r="H10">
        <v>29371</v>
      </c>
      <c r="I10">
        <v>30252</v>
      </c>
      <c r="J10">
        <v>31160</v>
      </c>
      <c r="K10">
        <v>32095</v>
      </c>
    </row>
    <row r="12" spans="1:11">
      <c r="A12" s="1" t="s">
        <v>18</v>
      </c>
      <c r="B12" s="5">
        <f>SUM(B5:B11)</f>
        <v>6818961</v>
      </c>
      <c r="C12" s="5">
        <f t="shared" ref="C12:K12" si="0">SUM(C5:C11)</f>
        <v>7016002</v>
      </c>
      <c r="D12" s="5">
        <f t="shared" si="0"/>
        <v>7286855</v>
      </c>
      <c r="E12" s="5">
        <f t="shared" si="0"/>
        <v>7472126</v>
      </c>
      <c r="F12" s="5">
        <f t="shared" si="0"/>
        <v>7637580</v>
      </c>
      <c r="G12" s="5">
        <f t="shared" si="0"/>
        <v>7840579</v>
      </c>
      <c r="H12" s="5">
        <f t="shared" si="0"/>
        <v>8021918</v>
      </c>
      <c r="I12" s="5">
        <f t="shared" si="0"/>
        <v>8238797</v>
      </c>
      <c r="J12" s="5">
        <f t="shared" si="0"/>
        <v>8434526</v>
      </c>
      <c r="K12" s="5">
        <f t="shared" si="0"/>
        <v>8657982</v>
      </c>
    </row>
    <row r="14" spans="1:11">
      <c r="A14" s="1" t="s">
        <v>19</v>
      </c>
    </row>
    <row r="15" spans="1:11">
      <c r="A15" t="s">
        <v>20</v>
      </c>
      <c r="B15">
        <v>3117943</v>
      </c>
      <c r="C15">
        <v>3186691</v>
      </c>
      <c r="D15">
        <v>3282362</v>
      </c>
      <c r="E15">
        <v>3381044</v>
      </c>
      <c r="F15">
        <v>3487825</v>
      </c>
      <c r="G15">
        <v>3597799</v>
      </c>
      <c r="H15">
        <v>3711062</v>
      </c>
      <c r="I15">
        <v>3827711</v>
      </c>
      <c r="J15">
        <v>3947847</v>
      </c>
      <c r="K15">
        <v>4071575</v>
      </c>
    </row>
    <row r="16" spans="1:11">
      <c r="A16" t="s">
        <v>21</v>
      </c>
      <c r="B16">
        <v>1267476</v>
      </c>
      <c r="C16">
        <v>1272951</v>
      </c>
      <c r="D16">
        <v>1301147</v>
      </c>
      <c r="E16">
        <v>1285872</v>
      </c>
      <c r="F16">
        <v>1409933</v>
      </c>
      <c r="G16">
        <v>1403699</v>
      </c>
      <c r="H16">
        <v>1419272</v>
      </c>
      <c r="I16">
        <v>1403918</v>
      </c>
      <c r="J16">
        <v>1416455</v>
      </c>
      <c r="K16">
        <v>1474596</v>
      </c>
    </row>
    <row r="17" spans="1:11">
      <c r="A17" t="s">
        <v>22</v>
      </c>
      <c r="B17">
        <v>58524</v>
      </c>
      <c r="C17">
        <v>48983</v>
      </c>
      <c r="D17">
        <v>38295</v>
      </c>
      <c r="E17">
        <v>28273</v>
      </c>
      <c r="F17">
        <v>19343</v>
      </c>
      <c r="G17">
        <v>11339</v>
      </c>
      <c r="H17">
        <v>6166</v>
      </c>
      <c r="I17">
        <v>2867</v>
      </c>
      <c r="J17">
        <v>1617</v>
      </c>
      <c r="K17">
        <v>393</v>
      </c>
    </row>
    <row r="18" spans="1:11">
      <c r="A18" t="s">
        <v>23</v>
      </c>
      <c r="B18">
        <v>2659035</v>
      </c>
      <c r="C18">
        <v>2665508</v>
      </c>
      <c r="D18">
        <v>2671036</v>
      </c>
      <c r="E18">
        <v>2676620</v>
      </c>
      <c r="F18">
        <v>2682260</v>
      </c>
      <c r="G18">
        <v>2687957</v>
      </c>
      <c r="H18">
        <v>2693712</v>
      </c>
      <c r="I18">
        <v>2699524</v>
      </c>
      <c r="J18">
        <v>2705396</v>
      </c>
      <c r="K18">
        <v>2711327</v>
      </c>
    </row>
    <row r="19" spans="1:11">
      <c r="A19" t="s">
        <v>24</v>
      </c>
      <c r="B19">
        <v>660319</v>
      </c>
      <c r="C19">
        <v>679863</v>
      </c>
      <c r="D19">
        <v>699993</v>
      </c>
      <c r="E19">
        <v>720728</v>
      </c>
      <c r="F19">
        <v>742084</v>
      </c>
      <c r="G19">
        <v>764081</v>
      </c>
      <c r="H19">
        <v>786738</v>
      </c>
      <c r="I19">
        <v>810075</v>
      </c>
      <c r="J19">
        <v>834111</v>
      </c>
      <c r="K19">
        <v>858869</v>
      </c>
    </row>
    <row r="20" spans="1:11">
      <c r="A20" t="s">
        <v>25</v>
      </c>
      <c r="B20">
        <v>24598</v>
      </c>
      <c r="C20">
        <v>25336</v>
      </c>
      <c r="D20">
        <v>26096</v>
      </c>
      <c r="E20">
        <v>26879</v>
      </c>
      <c r="F20">
        <v>27685</v>
      </c>
      <c r="G20">
        <v>28516</v>
      </c>
      <c r="H20">
        <v>29371</v>
      </c>
      <c r="I20">
        <v>30252</v>
      </c>
      <c r="J20">
        <v>31160</v>
      </c>
      <c r="K20">
        <v>32095</v>
      </c>
    </row>
    <row r="22" spans="1:11">
      <c r="A22" s="1" t="s">
        <v>26</v>
      </c>
      <c r="B22" s="5">
        <f>SUM(B15:B21)</f>
        <v>7787895</v>
      </c>
      <c r="C22" s="5">
        <f t="shared" ref="C22:K22" si="1">SUM(C15:C21)</f>
        <v>7879332</v>
      </c>
      <c r="D22" s="5">
        <f t="shared" si="1"/>
        <v>8018929</v>
      </c>
      <c r="E22" s="5">
        <f t="shared" si="1"/>
        <v>8119416</v>
      </c>
      <c r="F22" s="5">
        <f t="shared" si="1"/>
        <v>8369130</v>
      </c>
      <c r="G22" s="5">
        <f t="shared" si="1"/>
        <v>8493391</v>
      </c>
      <c r="H22" s="5">
        <f t="shared" si="1"/>
        <v>8646321</v>
      </c>
      <c r="I22" s="5">
        <f t="shared" si="1"/>
        <v>8774347</v>
      </c>
      <c r="J22" s="5">
        <f t="shared" si="1"/>
        <v>8936586</v>
      </c>
      <c r="K22" s="5">
        <f t="shared" si="1"/>
        <v>9148855</v>
      </c>
    </row>
    <row r="24" spans="1:11">
      <c r="A24" s="1" t="s">
        <v>27</v>
      </c>
      <c r="B24" s="5">
        <f>B12-B22</f>
        <v>-968934</v>
      </c>
      <c r="C24" s="5">
        <f t="shared" ref="C24:K24" si="2">C12-C22</f>
        <v>-863330</v>
      </c>
      <c r="D24" s="5">
        <f t="shared" si="2"/>
        <v>-732074</v>
      </c>
      <c r="E24" s="5">
        <f t="shared" si="2"/>
        <v>-647290</v>
      </c>
      <c r="F24" s="5">
        <f t="shared" si="2"/>
        <v>-731550</v>
      </c>
      <c r="G24" s="5">
        <f t="shared" si="2"/>
        <v>-652812</v>
      </c>
      <c r="H24" s="5">
        <f t="shared" si="2"/>
        <v>-624403</v>
      </c>
      <c r="I24" s="5">
        <f t="shared" si="2"/>
        <v>-535550</v>
      </c>
      <c r="J24" s="5">
        <f t="shared" si="2"/>
        <v>-502060</v>
      </c>
      <c r="K24" s="5">
        <f t="shared" si="2"/>
        <v>-490873</v>
      </c>
    </row>
    <row r="26" spans="1:11">
      <c r="A26" t="s">
        <v>28</v>
      </c>
      <c r="B26">
        <v>1840800</v>
      </c>
      <c r="C26">
        <v>818472</v>
      </c>
      <c r="D26">
        <v>801957</v>
      </c>
      <c r="E26">
        <v>763312</v>
      </c>
      <c r="F26">
        <v>791093</v>
      </c>
      <c r="G26">
        <v>779108</v>
      </c>
      <c r="H26">
        <v>807364</v>
      </c>
      <c r="I26">
        <v>795867</v>
      </c>
      <c r="J26">
        <v>824625</v>
      </c>
      <c r="K26">
        <v>813646</v>
      </c>
    </row>
    <row r="28" spans="1:11" ht="15.75" thickBot="1">
      <c r="A28" s="1" t="s">
        <v>29</v>
      </c>
      <c r="B28" s="6">
        <f>SUM(B24:B26)</f>
        <v>871866</v>
      </c>
      <c r="C28" s="6">
        <f t="shared" ref="C28:K28" si="3">SUM(C24:C26)</f>
        <v>-44858</v>
      </c>
      <c r="D28" s="6">
        <f t="shared" si="3"/>
        <v>69883</v>
      </c>
      <c r="E28" s="6">
        <f t="shared" si="3"/>
        <v>116022</v>
      </c>
      <c r="F28" s="6">
        <f t="shared" si="3"/>
        <v>59543</v>
      </c>
      <c r="G28" s="6">
        <f t="shared" si="3"/>
        <v>126296</v>
      </c>
      <c r="H28" s="6">
        <f t="shared" si="3"/>
        <v>182961</v>
      </c>
      <c r="I28" s="6">
        <f t="shared" si="3"/>
        <v>260317</v>
      </c>
      <c r="J28" s="6">
        <f t="shared" si="3"/>
        <v>322565</v>
      </c>
      <c r="K28" s="6">
        <f t="shared" si="3"/>
        <v>322773</v>
      </c>
    </row>
    <row r="29" spans="1:11" ht="15.75" thickTop="1"/>
    <row r="32" spans="1:11">
      <c r="A32" s="1" t="s">
        <v>129</v>
      </c>
    </row>
    <row r="34" spans="1:11">
      <c r="A34" s="1" t="s">
        <v>32</v>
      </c>
      <c r="B34" s="4">
        <f>B36/B38*100</f>
        <v>-14.209408148836749</v>
      </c>
      <c r="C34" s="4">
        <f t="shared" ref="C34:K34" si="4">C36/C38*100</f>
        <v>-12.305156127378527</v>
      </c>
      <c r="D34" s="4">
        <f t="shared" si="4"/>
        <v>-10.046501542846674</v>
      </c>
      <c r="E34" s="4">
        <f t="shared" si="4"/>
        <v>-8.6627286531303138</v>
      </c>
      <c r="F34" s="4">
        <f t="shared" si="4"/>
        <v>-9.5782957428923812</v>
      </c>
      <c r="G34" s="4">
        <f t="shared" si="4"/>
        <v>-8.3260687762982819</v>
      </c>
      <c r="H34" s="4">
        <f t="shared" si="4"/>
        <v>-7.7837120748429491</v>
      </c>
      <c r="I34" s="4">
        <f t="shared" si="4"/>
        <v>-6.5003422222928906</v>
      </c>
      <c r="J34" s="4">
        <f t="shared" si="4"/>
        <v>-5.9524388211026915</v>
      </c>
      <c r="K34" s="4">
        <f t="shared" si="4"/>
        <v>-5.6696006067002678</v>
      </c>
    </row>
    <row r="36" spans="1:11">
      <c r="A36" t="s">
        <v>33</v>
      </c>
      <c r="B36" s="3">
        <f>B24</f>
        <v>-968934</v>
      </c>
      <c r="C36" s="3">
        <f t="shared" ref="C36:K36" si="5">C24</f>
        <v>-863330</v>
      </c>
      <c r="D36" s="3">
        <f t="shared" si="5"/>
        <v>-732074</v>
      </c>
      <c r="E36" s="3">
        <f t="shared" si="5"/>
        <v>-647290</v>
      </c>
      <c r="F36" s="3">
        <f t="shared" si="5"/>
        <v>-731550</v>
      </c>
      <c r="G36" s="3">
        <f t="shared" si="5"/>
        <v>-652812</v>
      </c>
      <c r="H36" s="3">
        <f t="shared" si="5"/>
        <v>-624403</v>
      </c>
      <c r="I36" s="3">
        <f t="shared" si="5"/>
        <v>-535550</v>
      </c>
      <c r="J36" s="3">
        <f t="shared" si="5"/>
        <v>-502060</v>
      </c>
      <c r="K36" s="3">
        <f t="shared" si="5"/>
        <v>-490873</v>
      </c>
    </row>
    <row r="38" spans="1:11">
      <c r="A38" t="s">
        <v>34</v>
      </c>
      <c r="B38">
        <f>B12</f>
        <v>6818961</v>
      </c>
      <c r="C38">
        <f t="shared" ref="C38:K38" si="6">C12</f>
        <v>7016002</v>
      </c>
      <c r="D38">
        <f t="shared" si="6"/>
        <v>7286855</v>
      </c>
      <c r="E38">
        <f t="shared" si="6"/>
        <v>7472126</v>
      </c>
      <c r="F38">
        <f t="shared" si="6"/>
        <v>7637580</v>
      </c>
      <c r="G38">
        <f t="shared" si="6"/>
        <v>7840579</v>
      </c>
      <c r="H38">
        <f t="shared" si="6"/>
        <v>8021918</v>
      </c>
      <c r="I38">
        <f t="shared" si="6"/>
        <v>8238797</v>
      </c>
      <c r="J38">
        <f t="shared" si="6"/>
        <v>8434526</v>
      </c>
      <c r="K38">
        <f t="shared" si="6"/>
        <v>8657982</v>
      </c>
    </row>
    <row r="42" spans="1:11">
      <c r="A42" s="1" t="s">
        <v>35</v>
      </c>
      <c r="B42" s="4">
        <f>B44/B46*100</f>
        <v>25.866506642287586</v>
      </c>
      <c r="C42" s="4">
        <f t="shared" ref="C42:K42" si="7">C44/C46*100</f>
        <v>27.560796020297602</v>
      </c>
      <c r="D42" s="4">
        <f t="shared" si="7"/>
        <v>29.105601799404546</v>
      </c>
      <c r="E42" s="4">
        <f t="shared" si="7"/>
        <v>29.230409123186629</v>
      </c>
      <c r="F42" s="4">
        <f t="shared" si="7"/>
        <v>29.450179245258312</v>
      </c>
      <c r="G42" s="4">
        <f t="shared" si="7"/>
        <v>29.54351968139088</v>
      </c>
      <c r="H42" s="4">
        <f t="shared" si="7"/>
        <v>29.737252362838912</v>
      </c>
      <c r="I42" s="4">
        <f t="shared" si="7"/>
        <v>29.818515979942216</v>
      </c>
      <c r="J42" s="4">
        <f t="shared" si="7"/>
        <v>29.995888328520181</v>
      </c>
      <c r="K42" s="4">
        <f t="shared" si="7"/>
        <v>30.094021909493456</v>
      </c>
    </row>
    <row r="44" spans="1:11">
      <c r="A44" t="s">
        <v>36</v>
      </c>
      <c r="B44" s="3">
        <f>B5</f>
        <v>1763827</v>
      </c>
      <c r="C44" s="3">
        <f t="shared" ref="C44:K44" si="8">C5</f>
        <v>1933666</v>
      </c>
      <c r="D44" s="3">
        <f t="shared" si="8"/>
        <v>2120883</v>
      </c>
      <c r="E44" s="3">
        <f t="shared" si="8"/>
        <v>2184133</v>
      </c>
      <c r="F44" s="3">
        <f t="shared" si="8"/>
        <v>2249281</v>
      </c>
      <c r="G44" s="3">
        <f t="shared" si="8"/>
        <v>2316383</v>
      </c>
      <c r="H44" s="3">
        <f t="shared" si="8"/>
        <v>2385498</v>
      </c>
      <c r="I44" s="3">
        <f t="shared" si="8"/>
        <v>2456687</v>
      </c>
      <c r="J44" s="3">
        <f t="shared" si="8"/>
        <v>2530011</v>
      </c>
      <c r="K44" s="3">
        <f t="shared" si="8"/>
        <v>2605535</v>
      </c>
    </row>
    <row r="46" spans="1:11">
      <c r="A46" t="s">
        <v>34</v>
      </c>
      <c r="B46">
        <f>B12</f>
        <v>6818961</v>
      </c>
      <c r="C46">
        <f t="shared" ref="C46:K46" si="9">C12</f>
        <v>7016002</v>
      </c>
      <c r="D46">
        <f t="shared" si="9"/>
        <v>7286855</v>
      </c>
      <c r="E46">
        <f t="shared" si="9"/>
        <v>7472126</v>
      </c>
      <c r="F46">
        <f t="shared" si="9"/>
        <v>7637580</v>
      </c>
      <c r="G46">
        <f t="shared" si="9"/>
        <v>7840579</v>
      </c>
      <c r="H46">
        <f t="shared" si="9"/>
        <v>8021918</v>
      </c>
      <c r="I46">
        <f t="shared" si="9"/>
        <v>8238797</v>
      </c>
      <c r="J46">
        <f t="shared" si="9"/>
        <v>8434526</v>
      </c>
      <c r="K46">
        <f t="shared" si="9"/>
        <v>8657982</v>
      </c>
    </row>
    <row r="50" spans="1:11">
      <c r="A50" s="1" t="s">
        <v>37</v>
      </c>
      <c r="B50" s="4">
        <f>B52/B54*100</f>
        <v>44.780600757919302</v>
      </c>
      <c r="C50" s="4">
        <f t="shared" ref="C50:K50" si="10">C52/C54*100</f>
        <v>50.717942263896717</v>
      </c>
      <c r="D50" s="4">
        <f t="shared" si="10"/>
        <v>51.588935433287361</v>
      </c>
      <c r="E50" s="4">
        <f t="shared" si="10"/>
        <v>51.655625359574074</v>
      </c>
      <c r="F50" s="4">
        <f t="shared" si="10"/>
        <v>51.511975847206315</v>
      </c>
      <c r="G50" s="4">
        <f t="shared" si="10"/>
        <v>51.424570288921167</v>
      </c>
      <c r="H50" s="4">
        <f t="shared" si="10"/>
        <v>51.324263966197933</v>
      </c>
      <c r="I50" s="4">
        <f t="shared" si="10"/>
        <v>51.279936918517386</v>
      </c>
      <c r="J50" s="4">
        <f t="shared" si="10"/>
        <v>51.168557462773855</v>
      </c>
      <c r="K50" s="4">
        <f t="shared" si="10"/>
        <v>51.095387192149012</v>
      </c>
    </row>
    <row r="52" spans="1:11">
      <c r="A52" t="s">
        <v>38</v>
      </c>
      <c r="B52" s="3">
        <f>B5+B6+B7+B9</f>
        <v>3877893</v>
      </c>
      <c r="C52" s="3">
        <f t="shared" ref="C52:K52" si="11">C5+C6+C7+C9</f>
        <v>3973484</v>
      </c>
      <c r="D52" s="3">
        <f t="shared" si="11"/>
        <v>4172932</v>
      </c>
      <c r="E52" s="3">
        <f t="shared" si="11"/>
        <v>4254067</v>
      </c>
      <c r="F52" s="3">
        <f t="shared" si="11"/>
        <v>4341776</v>
      </c>
      <c r="G52" s="3">
        <f t="shared" si="11"/>
        <v>4432637</v>
      </c>
      <c r="H52" s="3">
        <f t="shared" si="11"/>
        <v>4531564</v>
      </c>
      <c r="I52" s="3">
        <f t="shared" si="11"/>
        <v>4632970</v>
      </c>
      <c r="J52" s="3">
        <f t="shared" si="11"/>
        <v>4737774</v>
      </c>
      <c r="K52" s="3">
        <f t="shared" si="11"/>
        <v>4839565</v>
      </c>
    </row>
    <row r="54" spans="1:11">
      <c r="A54" t="s">
        <v>116</v>
      </c>
      <c r="B54">
        <f>B12+B26</f>
        <v>8659761</v>
      </c>
      <c r="C54">
        <f t="shared" ref="C54:K54" si="12">C12+C26</f>
        <v>7834474</v>
      </c>
      <c r="D54">
        <f t="shared" si="12"/>
        <v>8088812</v>
      </c>
      <c r="E54">
        <f t="shared" si="12"/>
        <v>8235438</v>
      </c>
      <c r="F54">
        <f t="shared" si="12"/>
        <v>8428673</v>
      </c>
      <c r="G54">
        <f t="shared" si="12"/>
        <v>8619687</v>
      </c>
      <c r="H54">
        <f t="shared" si="12"/>
        <v>8829282</v>
      </c>
      <c r="I54">
        <f t="shared" si="12"/>
        <v>9034664</v>
      </c>
      <c r="J54">
        <f t="shared" si="12"/>
        <v>9259151</v>
      </c>
      <c r="K54">
        <f t="shared" si="12"/>
        <v>9471628</v>
      </c>
    </row>
    <row r="58" spans="1:11" ht="18.75">
      <c r="A58" s="33" t="s">
        <v>113</v>
      </c>
      <c r="C58" s="8"/>
      <c r="D58" s="8"/>
      <c r="E58" s="8"/>
      <c r="F58" s="8"/>
      <c r="G58" s="8"/>
      <c r="H58" s="8"/>
      <c r="I58" s="8"/>
      <c r="J58" s="8"/>
      <c r="K58" s="8"/>
    </row>
    <row r="59" spans="1:11"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ht="15.75" thickBot="1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27" thickBot="1">
      <c r="B61" s="9" t="s">
        <v>40</v>
      </c>
      <c r="C61" s="9" t="s">
        <v>41</v>
      </c>
      <c r="D61" s="9" t="s">
        <v>42</v>
      </c>
      <c r="E61" s="9" t="s">
        <v>43</v>
      </c>
      <c r="F61" s="9" t="s">
        <v>44</v>
      </c>
      <c r="G61" s="9" t="s">
        <v>45</v>
      </c>
      <c r="H61" s="9" t="s">
        <v>46</v>
      </c>
      <c r="I61" s="9" t="s">
        <v>47</v>
      </c>
      <c r="J61" s="9" t="s">
        <v>48</v>
      </c>
      <c r="K61" s="9" t="s">
        <v>49</v>
      </c>
    </row>
    <row r="62" spans="1:11"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>
      <c r="A63" s="12" t="s">
        <v>50</v>
      </c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>
      <c r="A64" s="18" t="s">
        <v>51</v>
      </c>
      <c r="B64" s="8">
        <v>2000</v>
      </c>
      <c r="C64" s="8">
        <v>2107</v>
      </c>
      <c r="D64" s="8">
        <v>2242</v>
      </c>
      <c r="E64" s="8">
        <v>2284</v>
      </c>
      <c r="F64" s="8">
        <v>2285</v>
      </c>
      <c r="G64" s="8">
        <v>1875</v>
      </c>
      <c r="H64" s="8">
        <v>2061</v>
      </c>
      <c r="I64" s="8">
        <v>2391</v>
      </c>
      <c r="J64" s="8">
        <v>2766</v>
      </c>
      <c r="K64" s="8">
        <v>2919</v>
      </c>
    </row>
    <row r="65" spans="1:11">
      <c r="A65" s="18" t="s">
        <v>52</v>
      </c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>
      <c r="A66" s="8" t="s">
        <v>53</v>
      </c>
      <c r="B66" s="8">
        <v>804</v>
      </c>
      <c r="C66" s="8">
        <v>804</v>
      </c>
      <c r="D66" s="8">
        <v>804</v>
      </c>
      <c r="E66" s="8">
        <v>804</v>
      </c>
      <c r="F66" s="8">
        <v>804</v>
      </c>
      <c r="G66" s="8">
        <v>804</v>
      </c>
      <c r="H66" s="8">
        <v>804</v>
      </c>
      <c r="I66" s="8">
        <v>804</v>
      </c>
      <c r="J66" s="8">
        <v>804</v>
      </c>
      <c r="K66" s="8">
        <v>804</v>
      </c>
    </row>
    <row r="67" spans="1:11">
      <c r="A67" s="18" t="s">
        <v>54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>
      <c r="A68" s="8" t="s">
        <v>55</v>
      </c>
      <c r="B68" s="8">
        <v>321</v>
      </c>
      <c r="C68" s="8">
        <v>285</v>
      </c>
      <c r="D68" s="8">
        <v>213</v>
      </c>
      <c r="E68" s="8">
        <v>213</v>
      </c>
      <c r="F68" s="8">
        <v>213</v>
      </c>
      <c r="G68" s="8">
        <v>281</v>
      </c>
      <c r="H68" s="8">
        <v>281</v>
      </c>
      <c r="I68" s="8">
        <v>281</v>
      </c>
      <c r="J68" s="8">
        <v>281</v>
      </c>
      <c r="K68" s="8">
        <v>213</v>
      </c>
    </row>
    <row r="69" spans="1:11">
      <c r="A69" s="18" t="s">
        <v>56</v>
      </c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>
      <c r="A70" s="18" t="s">
        <v>57</v>
      </c>
      <c r="B70" s="8">
        <v>72</v>
      </c>
      <c r="C70" s="8"/>
      <c r="D70" s="8"/>
      <c r="E70" s="8"/>
      <c r="F70" s="8"/>
      <c r="G70" s="8">
        <v>202</v>
      </c>
      <c r="H70" s="8">
        <v>134</v>
      </c>
      <c r="I70" s="8">
        <v>66</v>
      </c>
      <c r="J70" s="8"/>
      <c r="K70" s="8"/>
    </row>
    <row r="71" spans="1:11">
      <c r="A71" s="8" t="s">
        <v>58</v>
      </c>
      <c r="B71" s="8">
        <v>140</v>
      </c>
      <c r="C71" s="8">
        <v>140</v>
      </c>
      <c r="D71" s="8">
        <v>140</v>
      </c>
      <c r="E71" s="8">
        <v>140</v>
      </c>
      <c r="F71" s="8">
        <v>140</v>
      </c>
      <c r="G71" s="8">
        <v>140</v>
      </c>
      <c r="H71" s="8">
        <v>140</v>
      </c>
      <c r="I71" s="8">
        <v>140</v>
      </c>
      <c r="J71" s="8">
        <v>140</v>
      </c>
      <c r="K71" s="8">
        <v>140</v>
      </c>
    </row>
    <row r="72" spans="1:11">
      <c r="A72" s="8" t="s">
        <v>59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>
      <c r="A73" s="12" t="s">
        <v>60</v>
      </c>
      <c r="B73" s="12">
        <f>SUM(B64:B72)</f>
        <v>3337</v>
      </c>
      <c r="C73" s="12">
        <f t="shared" ref="C73:K73" si="13">SUM(C64:C72)</f>
        <v>3336</v>
      </c>
      <c r="D73" s="12">
        <f t="shared" si="13"/>
        <v>3399</v>
      </c>
      <c r="E73" s="12">
        <f t="shared" si="13"/>
        <v>3441</v>
      </c>
      <c r="F73" s="12">
        <f t="shared" si="13"/>
        <v>3442</v>
      </c>
      <c r="G73" s="12">
        <f t="shared" si="13"/>
        <v>3302</v>
      </c>
      <c r="H73" s="12">
        <f t="shared" si="13"/>
        <v>3420</v>
      </c>
      <c r="I73" s="12">
        <f t="shared" si="13"/>
        <v>3682</v>
      </c>
      <c r="J73" s="12">
        <f t="shared" si="13"/>
        <v>3991</v>
      </c>
      <c r="K73" s="12">
        <f t="shared" si="13"/>
        <v>4076</v>
      </c>
    </row>
    <row r="74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>
      <c r="A75" s="12" t="s">
        <v>61</v>
      </c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>
      <c r="A76" s="8" t="s">
        <v>53</v>
      </c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>
      <c r="A77" s="8" t="s">
        <v>55</v>
      </c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>
      <c r="A78" s="8" t="s">
        <v>62</v>
      </c>
      <c r="B78" s="8">
        <v>94416</v>
      </c>
      <c r="C78" s="8">
        <v>94204</v>
      </c>
      <c r="D78" s="8">
        <v>94035</v>
      </c>
      <c r="E78" s="8">
        <v>93972</v>
      </c>
      <c r="F78" s="8">
        <v>93897</v>
      </c>
      <c r="G78" s="8">
        <v>94079</v>
      </c>
      <c r="H78" s="8">
        <v>94078</v>
      </c>
      <c r="I78" s="8">
        <v>94051</v>
      </c>
      <c r="J78" s="8">
        <v>94040</v>
      </c>
      <c r="K78" s="8">
        <v>94259</v>
      </c>
    </row>
    <row r="79" spans="1:11">
      <c r="A79" s="8" t="s">
        <v>63</v>
      </c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>
      <c r="A80" s="8" t="s">
        <v>64</v>
      </c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>
      <c r="A81" s="8" t="s">
        <v>65</v>
      </c>
      <c r="B81" s="8">
        <v>160</v>
      </c>
      <c r="C81" s="8">
        <v>160</v>
      </c>
      <c r="D81" s="8">
        <v>160</v>
      </c>
      <c r="E81" s="8">
        <v>160</v>
      </c>
      <c r="F81" s="8">
        <v>160</v>
      </c>
      <c r="G81" s="8">
        <v>160</v>
      </c>
      <c r="H81" s="8">
        <v>160</v>
      </c>
      <c r="I81" s="8">
        <v>160</v>
      </c>
      <c r="J81" s="8">
        <v>160</v>
      </c>
      <c r="K81" s="8">
        <v>160</v>
      </c>
    </row>
    <row r="82" spans="1:11">
      <c r="A82" s="8" t="s">
        <v>58</v>
      </c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>
      <c r="A83" s="12" t="s">
        <v>66</v>
      </c>
      <c r="B83" s="13">
        <f>SUM(B76:B82)</f>
        <v>94576</v>
      </c>
      <c r="C83" s="13">
        <f t="shared" ref="C83:K83" si="14">SUM(C76:C82)</f>
        <v>94364</v>
      </c>
      <c r="D83" s="13">
        <f t="shared" si="14"/>
        <v>94195</v>
      </c>
      <c r="E83" s="13">
        <f t="shared" si="14"/>
        <v>94132</v>
      </c>
      <c r="F83" s="13">
        <f t="shared" si="14"/>
        <v>94057</v>
      </c>
      <c r="G83" s="13">
        <f t="shared" si="14"/>
        <v>94239</v>
      </c>
      <c r="H83" s="13">
        <f t="shared" si="14"/>
        <v>94238</v>
      </c>
      <c r="I83" s="13">
        <f t="shared" si="14"/>
        <v>94211</v>
      </c>
      <c r="J83" s="13">
        <f t="shared" si="14"/>
        <v>94200</v>
      </c>
      <c r="K83" s="13">
        <f t="shared" si="14"/>
        <v>94419</v>
      </c>
    </row>
    <row r="84" spans="1:11" ht="15.75" thickBot="1">
      <c r="A84" s="12" t="s">
        <v>67</v>
      </c>
      <c r="B84" s="14">
        <f t="shared" ref="B84:K84" si="15">B73+B83</f>
        <v>97913</v>
      </c>
      <c r="C84" s="14">
        <f t="shared" si="15"/>
        <v>97700</v>
      </c>
      <c r="D84" s="14">
        <f t="shared" si="15"/>
        <v>97594</v>
      </c>
      <c r="E84" s="14">
        <f t="shared" si="15"/>
        <v>97573</v>
      </c>
      <c r="F84" s="14">
        <f t="shared" si="15"/>
        <v>97499</v>
      </c>
      <c r="G84" s="14">
        <f t="shared" si="15"/>
        <v>97541</v>
      </c>
      <c r="H84" s="14">
        <f t="shared" si="15"/>
        <v>97658</v>
      </c>
      <c r="I84" s="14">
        <f t="shared" si="15"/>
        <v>97893</v>
      </c>
      <c r="J84" s="14">
        <f t="shared" si="15"/>
        <v>98191</v>
      </c>
      <c r="K84" s="14">
        <f t="shared" si="15"/>
        <v>98495</v>
      </c>
    </row>
    <row r="85" spans="1:1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>
      <c r="A86" s="12" t="s">
        <v>68</v>
      </c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>
      <c r="A87" s="8" t="s">
        <v>69</v>
      </c>
      <c r="B87" s="8">
        <v>485</v>
      </c>
      <c r="C87" s="8">
        <v>485</v>
      </c>
      <c r="D87" s="8">
        <v>485</v>
      </c>
      <c r="E87" s="8">
        <v>485</v>
      </c>
      <c r="F87" s="8">
        <v>485</v>
      </c>
      <c r="G87" s="8">
        <v>485</v>
      </c>
      <c r="H87" s="8">
        <v>485</v>
      </c>
      <c r="I87" s="8">
        <v>485</v>
      </c>
      <c r="J87" s="8">
        <v>485</v>
      </c>
      <c r="K87" s="8">
        <v>485</v>
      </c>
    </row>
    <row r="88" spans="1:11">
      <c r="A88" s="8" t="s">
        <v>70</v>
      </c>
      <c r="B88" s="8">
        <f>114+53</f>
        <v>167</v>
      </c>
      <c r="C88" s="8">
        <f>123+53</f>
        <v>176</v>
      </c>
      <c r="D88" s="8">
        <f>82+53</f>
        <v>135</v>
      </c>
      <c r="E88" s="8">
        <f>89+53</f>
        <v>142</v>
      </c>
      <c r="F88" s="8">
        <f>59+46</f>
        <v>105</v>
      </c>
      <c r="G88" s="8">
        <f>41+25</f>
        <v>66</v>
      </c>
      <c r="H88" s="8">
        <f>25</f>
        <v>25</v>
      </c>
      <c r="I88" s="8">
        <f>25</f>
        <v>25</v>
      </c>
      <c r="J88" s="8">
        <f>19</f>
        <v>19</v>
      </c>
      <c r="K88" s="8"/>
    </row>
    <row r="89" spans="1:11">
      <c r="A89" s="18" t="s">
        <v>71</v>
      </c>
      <c r="B89" s="8">
        <v>1490</v>
      </c>
      <c r="C89" s="8">
        <v>1490</v>
      </c>
      <c r="D89" s="8">
        <v>1490</v>
      </c>
      <c r="E89" s="8">
        <v>1490</v>
      </c>
      <c r="F89" s="8">
        <v>1490</v>
      </c>
      <c r="G89" s="8">
        <v>1490</v>
      </c>
      <c r="H89" s="8">
        <v>1490</v>
      </c>
      <c r="I89" s="8">
        <v>1490</v>
      </c>
      <c r="J89" s="8">
        <v>1490</v>
      </c>
      <c r="K89" s="8">
        <v>1490</v>
      </c>
    </row>
    <row r="90" spans="1:11">
      <c r="A90" s="8" t="s">
        <v>72</v>
      </c>
      <c r="B90" s="8">
        <v>555</v>
      </c>
      <c r="C90" s="8">
        <v>555</v>
      </c>
      <c r="D90" s="8">
        <v>555</v>
      </c>
      <c r="E90" s="8">
        <v>555</v>
      </c>
      <c r="F90" s="8">
        <v>555</v>
      </c>
      <c r="G90" s="8">
        <v>555</v>
      </c>
      <c r="H90" s="8">
        <v>555</v>
      </c>
      <c r="I90" s="8">
        <v>555</v>
      </c>
      <c r="J90" s="8">
        <v>555</v>
      </c>
      <c r="K90" s="8">
        <v>555</v>
      </c>
    </row>
    <row r="91" spans="1:11">
      <c r="A91" s="12" t="s">
        <v>73</v>
      </c>
      <c r="B91" s="15">
        <f t="shared" ref="B91:K91" si="16">SUM(B87:B90)</f>
        <v>2697</v>
      </c>
      <c r="C91" s="15">
        <f t="shared" si="16"/>
        <v>2706</v>
      </c>
      <c r="D91" s="15">
        <f t="shared" si="16"/>
        <v>2665</v>
      </c>
      <c r="E91" s="15">
        <f t="shared" si="16"/>
        <v>2672</v>
      </c>
      <c r="F91" s="15">
        <f t="shared" si="16"/>
        <v>2635</v>
      </c>
      <c r="G91" s="15">
        <f t="shared" si="16"/>
        <v>2596</v>
      </c>
      <c r="H91" s="15">
        <f t="shared" si="16"/>
        <v>2555</v>
      </c>
      <c r="I91" s="15">
        <f t="shared" si="16"/>
        <v>2555</v>
      </c>
      <c r="J91" s="15">
        <f t="shared" si="16"/>
        <v>2549</v>
      </c>
      <c r="K91" s="15">
        <f t="shared" si="16"/>
        <v>2530</v>
      </c>
    </row>
    <row r="92" spans="1:1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>
      <c r="A93" s="12" t="s">
        <v>74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>
      <c r="A94" s="8" t="s">
        <v>69</v>
      </c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>
      <c r="A95" s="8" t="s">
        <v>70</v>
      </c>
      <c r="B95" s="8">
        <f>508-167+107+219</f>
        <v>667</v>
      </c>
      <c r="C95" s="8">
        <f>394-176+78+194</f>
        <v>490</v>
      </c>
      <c r="D95" s="8">
        <f>271-135+50+169</f>
        <v>355</v>
      </c>
      <c r="E95" s="8">
        <f>188-142+21+144</f>
        <v>211</v>
      </c>
      <c r="F95" s="8">
        <f>100-105+119</f>
        <v>114</v>
      </c>
      <c r="G95" s="8">
        <f>41-66+94</f>
        <v>69</v>
      </c>
      <c r="H95" s="8">
        <f>-25+69</f>
        <v>44</v>
      </c>
      <c r="I95" s="8">
        <f>-25+44</f>
        <v>19</v>
      </c>
      <c r="J95" s="8">
        <f>-19+19</f>
        <v>0</v>
      </c>
      <c r="K95" s="8"/>
    </row>
    <row r="96" spans="1:11">
      <c r="A96" s="8" t="s">
        <v>72</v>
      </c>
      <c r="B96" s="8">
        <v>66</v>
      </c>
      <c r="C96" s="8">
        <v>66</v>
      </c>
      <c r="D96" s="8">
        <v>66</v>
      </c>
      <c r="E96" s="8">
        <v>66</v>
      </c>
      <c r="F96" s="8">
        <v>66</v>
      </c>
      <c r="G96" s="8">
        <v>66</v>
      </c>
      <c r="H96" s="8">
        <v>66</v>
      </c>
      <c r="I96" s="8">
        <v>66</v>
      </c>
      <c r="J96" s="8">
        <v>66</v>
      </c>
      <c r="K96" s="8">
        <v>66</v>
      </c>
    </row>
    <row r="97" spans="1:11">
      <c r="A97" s="12" t="s">
        <v>75</v>
      </c>
      <c r="B97" s="13">
        <f t="shared" ref="B97:K97" si="17">SUM(B94:B96)</f>
        <v>733</v>
      </c>
      <c r="C97" s="13">
        <f t="shared" si="17"/>
        <v>556</v>
      </c>
      <c r="D97" s="13">
        <f t="shared" si="17"/>
        <v>421</v>
      </c>
      <c r="E97" s="13">
        <f t="shared" si="17"/>
        <v>277</v>
      </c>
      <c r="F97" s="13">
        <f t="shared" si="17"/>
        <v>180</v>
      </c>
      <c r="G97" s="13">
        <f t="shared" si="17"/>
        <v>135</v>
      </c>
      <c r="H97" s="13">
        <f t="shared" si="17"/>
        <v>110</v>
      </c>
      <c r="I97" s="13">
        <f t="shared" si="17"/>
        <v>85</v>
      </c>
      <c r="J97" s="13">
        <f t="shared" si="17"/>
        <v>66</v>
      </c>
      <c r="K97" s="13">
        <f t="shared" si="17"/>
        <v>66</v>
      </c>
    </row>
    <row r="98" spans="1:11" ht="15.75" thickBot="1">
      <c r="A98" s="12" t="s">
        <v>76</v>
      </c>
      <c r="B98" s="14">
        <f t="shared" ref="B98:K98" si="18">B91+B97</f>
        <v>3430</v>
      </c>
      <c r="C98" s="14">
        <f t="shared" si="18"/>
        <v>3262</v>
      </c>
      <c r="D98" s="14">
        <f t="shared" si="18"/>
        <v>3086</v>
      </c>
      <c r="E98" s="14">
        <f t="shared" si="18"/>
        <v>2949</v>
      </c>
      <c r="F98" s="14">
        <f t="shared" si="18"/>
        <v>2815</v>
      </c>
      <c r="G98" s="14">
        <f t="shared" si="18"/>
        <v>2731</v>
      </c>
      <c r="H98" s="14">
        <f t="shared" si="18"/>
        <v>2665</v>
      </c>
      <c r="I98" s="14">
        <f t="shared" si="18"/>
        <v>2640</v>
      </c>
      <c r="J98" s="14">
        <f t="shared" si="18"/>
        <v>2615</v>
      </c>
      <c r="K98" s="14">
        <f t="shared" si="18"/>
        <v>2596</v>
      </c>
    </row>
    <row r="99" spans="1:1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ht="15.75" thickBot="1">
      <c r="A100" s="12" t="s">
        <v>77</v>
      </c>
      <c r="B100" s="16">
        <f t="shared" ref="B100:K100" si="19">B84-B98</f>
        <v>94483</v>
      </c>
      <c r="C100" s="16">
        <f t="shared" si="19"/>
        <v>94438</v>
      </c>
      <c r="D100" s="16">
        <f t="shared" si="19"/>
        <v>94508</v>
      </c>
      <c r="E100" s="16">
        <f t="shared" si="19"/>
        <v>94624</v>
      </c>
      <c r="F100" s="16">
        <f t="shared" si="19"/>
        <v>94684</v>
      </c>
      <c r="G100" s="16">
        <f t="shared" si="19"/>
        <v>94810</v>
      </c>
      <c r="H100" s="16">
        <f t="shared" si="19"/>
        <v>94993</v>
      </c>
      <c r="I100" s="16">
        <f t="shared" si="19"/>
        <v>95253</v>
      </c>
      <c r="J100" s="16">
        <f t="shared" si="19"/>
        <v>95576</v>
      </c>
      <c r="K100" s="16">
        <f t="shared" si="19"/>
        <v>95899</v>
      </c>
    </row>
    <row r="101" spans="1:1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>
      <c r="A102" s="12" t="s">
        <v>78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>
      <c r="A103" s="8" t="s">
        <v>79</v>
      </c>
      <c r="B103" s="8">
        <f>35999+872</f>
        <v>36871</v>
      </c>
      <c r="C103" s="8">
        <f>B103-45</f>
        <v>36826</v>
      </c>
      <c r="D103" s="8">
        <f>C103+70</f>
        <v>36896</v>
      </c>
      <c r="E103" s="8">
        <f>D103+116</f>
        <v>37012</v>
      </c>
      <c r="F103" s="8">
        <f>E103+60</f>
        <v>37072</v>
      </c>
      <c r="G103" s="8">
        <f>F103+126</f>
        <v>37198</v>
      </c>
      <c r="H103" s="8">
        <f>G103+183</f>
        <v>37381</v>
      </c>
      <c r="I103" s="8">
        <f>H103+260</f>
        <v>37641</v>
      </c>
      <c r="J103" s="8">
        <f>I103+323</f>
        <v>37964</v>
      </c>
      <c r="K103" s="8">
        <f>J103+323</f>
        <v>38287</v>
      </c>
    </row>
    <row r="104" spans="1:11">
      <c r="A104" s="8" t="s">
        <v>80</v>
      </c>
      <c r="B104" s="8">
        <v>57612</v>
      </c>
      <c r="C104" s="8">
        <v>57612</v>
      </c>
      <c r="D104" s="8">
        <v>57612</v>
      </c>
      <c r="E104" s="8">
        <v>57612</v>
      </c>
      <c r="F104" s="8">
        <v>57612</v>
      </c>
      <c r="G104" s="8">
        <v>57612</v>
      </c>
      <c r="H104" s="8">
        <v>57612</v>
      </c>
      <c r="I104" s="8">
        <v>57612</v>
      </c>
      <c r="J104" s="8">
        <v>57612</v>
      </c>
      <c r="K104" s="8">
        <v>57612</v>
      </c>
    </row>
    <row r="105" spans="1:11">
      <c r="A105" s="8" t="s">
        <v>81</v>
      </c>
      <c r="B105" s="17">
        <f t="shared" ref="B105:K105" si="20">SUM(B103:B104)</f>
        <v>94483</v>
      </c>
      <c r="C105" s="17">
        <f t="shared" si="20"/>
        <v>94438</v>
      </c>
      <c r="D105" s="17">
        <f t="shared" si="20"/>
        <v>94508</v>
      </c>
      <c r="E105" s="17">
        <f t="shared" si="20"/>
        <v>94624</v>
      </c>
      <c r="F105" s="17">
        <f t="shared" si="20"/>
        <v>94684</v>
      </c>
      <c r="G105" s="17">
        <f t="shared" si="20"/>
        <v>94810</v>
      </c>
      <c r="H105" s="17">
        <f t="shared" si="20"/>
        <v>94993</v>
      </c>
      <c r="I105" s="17">
        <f t="shared" si="20"/>
        <v>95253</v>
      </c>
      <c r="J105" s="17">
        <f t="shared" si="20"/>
        <v>95576</v>
      </c>
      <c r="K105" s="17">
        <f t="shared" si="20"/>
        <v>95899</v>
      </c>
    </row>
    <row r="106" spans="1:11">
      <c r="A106" s="8" t="s">
        <v>82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ht="15.75" thickBot="1">
      <c r="A107" s="12" t="s">
        <v>83</v>
      </c>
      <c r="B107" s="16">
        <f t="shared" ref="B107:K107" si="21">SUM(B105:B106)</f>
        <v>94483</v>
      </c>
      <c r="C107" s="16">
        <f t="shared" si="21"/>
        <v>94438</v>
      </c>
      <c r="D107" s="16">
        <f t="shared" si="21"/>
        <v>94508</v>
      </c>
      <c r="E107" s="16">
        <f t="shared" si="21"/>
        <v>94624</v>
      </c>
      <c r="F107" s="16">
        <f t="shared" si="21"/>
        <v>94684</v>
      </c>
      <c r="G107" s="16">
        <f t="shared" si="21"/>
        <v>94810</v>
      </c>
      <c r="H107" s="16">
        <f t="shared" si="21"/>
        <v>94993</v>
      </c>
      <c r="I107" s="16">
        <f t="shared" si="21"/>
        <v>95253</v>
      </c>
      <c r="J107" s="16">
        <f t="shared" si="21"/>
        <v>95576</v>
      </c>
      <c r="K107" s="16">
        <f t="shared" si="21"/>
        <v>95899</v>
      </c>
    </row>
    <row r="108" spans="1:1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>
      <c r="A109" s="1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ht="18.75">
      <c r="A110" s="32" t="s">
        <v>112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>
      <c r="A111" s="8"/>
      <c r="B111" s="20" t="s">
        <v>1</v>
      </c>
      <c r="C111" s="20" t="s">
        <v>2</v>
      </c>
      <c r="D111" s="20" t="s">
        <v>3</v>
      </c>
      <c r="E111" s="20" t="s">
        <v>4</v>
      </c>
      <c r="F111" s="20" t="s">
        <v>5</v>
      </c>
      <c r="G111" s="20" t="s">
        <v>6</v>
      </c>
      <c r="H111" s="20" t="s">
        <v>7</v>
      </c>
      <c r="I111" s="20" t="s">
        <v>8</v>
      </c>
      <c r="J111" s="20" t="s">
        <v>9</v>
      </c>
      <c r="K111" s="20" t="s">
        <v>10</v>
      </c>
    </row>
    <row r="113" spans="1:11">
      <c r="A113" s="1" t="s">
        <v>111</v>
      </c>
    </row>
    <row r="114" spans="1:11">
      <c r="A114" s="21" t="s">
        <v>96</v>
      </c>
    </row>
    <row r="115" spans="1:11">
      <c r="A115" t="s">
        <v>110</v>
      </c>
      <c r="B115">
        <v>1763827</v>
      </c>
      <c r="C115">
        <v>1933666</v>
      </c>
      <c r="D115">
        <v>2120883</v>
      </c>
      <c r="E115">
        <v>2184133</v>
      </c>
      <c r="F115">
        <v>2249281</v>
      </c>
      <c r="G115">
        <v>2316383</v>
      </c>
      <c r="H115">
        <v>2385498</v>
      </c>
      <c r="I115">
        <v>2456687</v>
      </c>
      <c r="J115">
        <v>2530011</v>
      </c>
      <c r="K115">
        <v>2605535</v>
      </c>
    </row>
    <row r="116" spans="1:11">
      <c r="A116" t="s">
        <v>109</v>
      </c>
      <c r="B116">
        <v>1753769</v>
      </c>
      <c r="C116">
        <v>1826188</v>
      </c>
      <c r="D116">
        <v>1844785</v>
      </c>
      <c r="E116">
        <v>1869079</v>
      </c>
      <c r="F116">
        <v>1893092</v>
      </c>
      <c r="G116">
        <v>1918345</v>
      </c>
      <c r="H116">
        <v>1944362</v>
      </c>
      <c r="I116">
        <v>1971165</v>
      </c>
      <c r="J116">
        <v>1999278</v>
      </c>
      <c r="K116">
        <v>2027227</v>
      </c>
    </row>
    <row r="117" spans="1:11">
      <c r="A117" t="s">
        <v>108</v>
      </c>
      <c r="B117">
        <v>111850</v>
      </c>
      <c r="C117">
        <v>103606</v>
      </c>
      <c r="D117">
        <v>95264</v>
      </c>
      <c r="E117">
        <v>86822</v>
      </c>
      <c r="F117">
        <v>83276</v>
      </c>
      <c r="G117">
        <v>79625</v>
      </c>
      <c r="H117">
        <v>80863</v>
      </c>
      <c r="I117">
        <v>81989</v>
      </c>
      <c r="J117">
        <v>82999</v>
      </c>
      <c r="K117">
        <v>78889</v>
      </c>
    </row>
    <row r="118" spans="1:11">
      <c r="A118" t="s">
        <v>107</v>
      </c>
      <c r="B118">
        <v>4757270</v>
      </c>
      <c r="C118">
        <v>3835654</v>
      </c>
      <c r="D118">
        <v>3889784</v>
      </c>
      <c r="E118">
        <v>3954491</v>
      </c>
      <c r="F118">
        <v>4059212</v>
      </c>
      <c r="G118">
        <v>4158534</v>
      </c>
      <c r="H118">
        <v>4268346</v>
      </c>
      <c r="I118">
        <v>4371442</v>
      </c>
      <c r="J118">
        <v>4490216</v>
      </c>
      <c r="K118">
        <v>4599968</v>
      </c>
    </row>
    <row r="119" spans="1:11">
      <c r="A119" t="s">
        <v>106</v>
      </c>
      <c r="B119">
        <v>248447</v>
      </c>
      <c r="C119">
        <v>110026</v>
      </c>
      <c r="D119">
        <v>112000</v>
      </c>
      <c r="E119">
        <v>114033</v>
      </c>
      <c r="F119">
        <v>116127</v>
      </c>
      <c r="G119">
        <v>118284</v>
      </c>
      <c r="H119">
        <v>120841</v>
      </c>
      <c r="I119">
        <v>123129</v>
      </c>
      <c r="J119">
        <v>125486</v>
      </c>
      <c r="K119">
        <v>127914</v>
      </c>
    </row>
    <row r="120" spans="1:11">
      <c r="A120" s="21" t="s">
        <v>94</v>
      </c>
    </row>
    <row r="121" spans="1:11">
      <c r="A121" t="s">
        <v>105</v>
      </c>
      <c r="B121">
        <v>-3117943.0401100004</v>
      </c>
      <c r="C121">
        <v>-3186691</v>
      </c>
      <c r="D121">
        <v>-3282362</v>
      </c>
      <c r="E121">
        <v>-3381044</v>
      </c>
      <c r="F121">
        <v>-3487825</v>
      </c>
      <c r="G121">
        <v>-3597799</v>
      </c>
      <c r="H121">
        <v>-3711062</v>
      </c>
      <c r="I121">
        <v>-3827711</v>
      </c>
      <c r="J121">
        <v>-3947847</v>
      </c>
      <c r="K121">
        <v>-4071575</v>
      </c>
    </row>
    <row r="122" spans="1:11">
      <c r="A122" t="s">
        <v>104</v>
      </c>
      <c r="B122">
        <v>-1267475.9598899996</v>
      </c>
      <c r="C122">
        <v>-1272951</v>
      </c>
      <c r="D122">
        <v>-1301147</v>
      </c>
      <c r="E122">
        <v>-1285872</v>
      </c>
      <c r="F122">
        <v>-1409933</v>
      </c>
      <c r="G122">
        <v>-1403699</v>
      </c>
      <c r="H122">
        <v>-1419272</v>
      </c>
      <c r="I122">
        <v>-1403918</v>
      </c>
      <c r="J122">
        <v>-1416455</v>
      </c>
      <c r="K122">
        <v>-1474596</v>
      </c>
    </row>
    <row r="123" spans="1:11">
      <c r="A123" t="s">
        <v>103</v>
      </c>
      <c r="B123">
        <v>-58524</v>
      </c>
      <c r="C123">
        <v>-48983</v>
      </c>
      <c r="D123">
        <v>-38295</v>
      </c>
      <c r="E123">
        <v>-28273</v>
      </c>
      <c r="F123">
        <v>-19343</v>
      </c>
      <c r="G123">
        <v>-11339</v>
      </c>
      <c r="H123">
        <v>-6166</v>
      </c>
      <c r="I123">
        <v>-2867</v>
      </c>
      <c r="J123">
        <v>-1617</v>
      </c>
      <c r="K123">
        <v>-393</v>
      </c>
    </row>
    <row r="124" spans="1:11">
      <c r="A124" t="s">
        <v>102</v>
      </c>
      <c r="B124">
        <v>-660319</v>
      </c>
      <c r="C124">
        <v>-679863</v>
      </c>
      <c r="D124">
        <v>-699993</v>
      </c>
      <c r="E124">
        <v>-720728</v>
      </c>
      <c r="F124">
        <v>-742084</v>
      </c>
      <c r="G124">
        <v>-764081</v>
      </c>
      <c r="H124">
        <v>-786738</v>
      </c>
      <c r="I124">
        <v>-810075</v>
      </c>
      <c r="J124">
        <v>-834111</v>
      </c>
      <c r="K124">
        <v>-858869</v>
      </c>
    </row>
    <row r="125" spans="1:11">
      <c r="A125" s="19" t="s">
        <v>101</v>
      </c>
      <c r="B125" s="5">
        <f>SUM(B115:B119)+SUM(B121:B124)</f>
        <v>3530901</v>
      </c>
      <c r="C125" s="5">
        <f t="shared" ref="C125:K125" si="22">SUM(C115:C119)+SUM(C121:C124)</f>
        <v>2620652</v>
      </c>
      <c r="D125" s="5">
        <f t="shared" si="22"/>
        <v>2740919</v>
      </c>
      <c r="E125" s="5">
        <f t="shared" si="22"/>
        <v>2792641</v>
      </c>
      <c r="F125" s="5">
        <f t="shared" si="22"/>
        <v>2741803</v>
      </c>
      <c r="G125" s="5">
        <f t="shared" si="22"/>
        <v>2814253</v>
      </c>
      <c r="H125" s="5">
        <f t="shared" si="22"/>
        <v>2876672</v>
      </c>
      <c r="I125" s="5">
        <f t="shared" si="22"/>
        <v>2959841</v>
      </c>
      <c r="J125" s="5">
        <f t="shared" si="22"/>
        <v>3027960</v>
      </c>
      <c r="K125" s="5">
        <f t="shared" si="22"/>
        <v>3034100</v>
      </c>
    </row>
    <row r="126" spans="1:11">
      <c r="A126" s="8"/>
    </row>
    <row r="127" spans="1:11">
      <c r="A127" s="19" t="s">
        <v>100</v>
      </c>
    </row>
    <row r="128" spans="1:11">
      <c r="A128" s="22" t="s">
        <v>96</v>
      </c>
    </row>
    <row r="129" spans="1:11">
      <c r="A129" s="8" t="s">
        <v>99</v>
      </c>
      <c r="B129">
        <v>456000</v>
      </c>
      <c r="C129">
        <v>547000</v>
      </c>
      <c r="D129">
        <v>401000</v>
      </c>
      <c r="E129">
        <v>562000</v>
      </c>
      <c r="F129">
        <v>331000</v>
      </c>
      <c r="G129">
        <v>327000</v>
      </c>
      <c r="H129">
        <v>390000</v>
      </c>
      <c r="I129">
        <v>419000</v>
      </c>
      <c r="J129">
        <v>659000</v>
      </c>
      <c r="K129">
        <v>456000</v>
      </c>
    </row>
    <row r="130" spans="1:11">
      <c r="A130" s="22" t="s">
        <v>94</v>
      </c>
    </row>
    <row r="131" spans="1:11">
      <c r="A131" s="8" t="s">
        <v>98</v>
      </c>
      <c r="B131">
        <v>-3981650</v>
      </c>
      <c r="C131">
        <v>-3002722</v>
      </c>
      <c r="D131">
        <v>-2890133</v>
      </c>
      <c r="E131">
        <v>-3177292</v>
      </c>
      <c r="F131">
        <v>-2935862</v>
      </c>
      <c r="G131">
        <v>-3197689</v>
      </c>
      <c r="H131">
        <v>-3069747</v>
      </c>
      <c r="I131">
        <v>-3094011</v>
      </c>
      <c r="J131">
        <v>-3357004</v>
      </c>
      <c r="K131">
        <v>-3369746</v>
      </c>
    </row>
    <row r="132" spans="1:11">
      <c r="A132" s="8"/>
    </row>
    <row r="133" spans="1:11">
      <c r="A133" s="19" t="s">
        <v>30</v>
      </c>
      <c r="B133" s="5">
        <f>B129+B131</f>
        <v>-3525650</v>
      </c>
      <c r="C133" s="5">
        <f t="shared" ref="C133:K133" si="23">C129+C131</f>
        <v>-2455722</v>
      </c>
      <c r="D133" s="5">
        <f t="shared" si="23"/>
        <v>-2489133</v>
      </c>
      <c r="E133" s="5">
        <f t="shared" si="23"/>
        <v>-2615292</v>
      </c>
      <c r="F133" s="5">
        <f t="shared" si="23"/>
        <v>-2604862</v>
      </c>
      <c r="G133" s="5">
        <f t="shared" si="23"/>
        <v>-2870689</v>
      </c>
      <c r="H133" s="5">
        <f t="shared" si="23"/>
        <v>-2679747</v>
      </c>
      <c r="I133" s="5">
        <f t="shared" si="23"/>
        <v>-2675011</v>
      </c>
      <c r="J133" s="5">
        <f t="shared" si="23"/>
        <v>-2698004</v>
      </c>
      <c r="K133" s="5">
        <f t="shared" si="23"/>
        <v>-2913746</v>
      </c>
    </row>
    <row r="134" spans="1:11">
      <c r="A134" s="8"/>
    </row>
    <row r="135" spans="1:11">
      <c r="A135" s="19" t="s">
        <v>97</v>
      </c>
    </row>
    <row r="136" spans="1:11">
      <c r="A136" s="22" t="s">
        <v>96</v>
      </c>
    </row>
    <row r="137" spans="1:11">
      <c r="A137" s="8" t="s">
        <v>95</v>
      </c>
    </row>
    <row r="138" spans="1:11">
      <c r="A138" s="22" t="s">
        <v>94</v>
      </c>
    </row>
    <row r="139" spans="1:11">
      <c r="A139" s="8" t="s">
        <v>93</v>
      </c>
      <c r="B139">
        <v>-159409</v>
      </c>
      <c r="C139">
        <v>-167534</v>
      </c>
      <c r="D139">
        <v>-176535</v>
      </c>
      <c r="E139">
        <v>-135874</v>
      </c>
      <c r="F139">
        <v>-135218</v>
      </c>
      <c r="G139">
        <v>-84053</v>
      </c>
      <c r="H139">
        <v>-65967</v>
      </c>
      <c r="I139">
        <v>-25000</v>
      </c>
      <c r="J139">
        <v>-25000</v>
      </c>
      <c r="K139">
        <v>-18750</v>
      </c>
    </row>
    <row r="140" spans="1:11">
      <c r="A140" s="19" t="s">
        <v>31</v>
      </c>
      <c r="B140" s="5">
        <f>B137+B139</f>
        <v>-159409</v>
      </c>
      <c r="C140" s="5">
        <f t="shared" ref="C140:K140" si="24">C137+C139</f>
        <v>-167534</v>
      </c>
      <c r="D140" s="5">
        <f t="shared" si="24"/>
        <v>-176535</v>
      </c>
      <c r="E140" s="5">
        <f t="shared" si="24"/>
        <v>-135874</v>
      </c>
      <c r="F140" s="5">
        <f t="shared" si="24"/>
        <v>-135218</v>
      </c>
      <c r="G140" s="5">
        <f t="shared" si="24"/>
        <v>-84053</v>
      </c>
      <c r="H140" s="5">
        <f t="shared" si="24"/>
        <v>-65967</v>
      </c>
      <c r="I140" s="5">
        <f t="shared" si="24"/>
        <v>-25000</v>
      </c>
      <c r="J140" s="5">
        <f t="shared" si="24"/>
        <v>-25000</v>
      </c>
      <c r="K140" s="5">
        <f t="shared" si="24"/>
        <v>-18750</v>
      </c>
    </row>
    <row r="141" spans="1:11">
      <c r="A141" s="8"/>
    </row>
    <row r="142" spans="1:11">
      <c r="A142" s="19" t="s">
        <v>92</v>
      </c>
      <c r="B142">
        <f>B125+B133+B140</f>
        <v>-154158</v>
      </c>
      <c r="C142">
        <f t="shared" ref="C142:K142" si="25">C125+C133+C140</f>
        <v>-2604</v>
      </c>
      <c r="D142">
        <f t="shared" si="25"/>
        <v>75251</v>
      </c>
      <c r="E142">
        <f t="shared" si="25"/>
        <v>41475</v>
      </c>
      <c r="F142">
        <f t="shared" si="25"/>
        <v>1723</v>
      </c>
      <c r="G142">
        <f t="shared" si="25"/>
        <v>-140489</v>
      </c>
      <c r="H142">
        <f t="shared" si="25"/>
        <v>130958</v>
      </c>
      <c r="I142">
        <f t="shared" si="25"/>
        <v>259830</v>
      </c>
      <c r="J142">
        <f t="shared" si="25"/>
        <v>304956</v>
      </c>
      <c r="K142">
        <f t="shared" si="25"/>
        <v>101604</v>
      </c>
    </row>
    <row r="143" spans="1:11">
      <c r="A143" s="8"/>
    </row>
    <row r="144" spans="1:11">
      <c r="A144" s="8" t="s">
        <v>91</v>
      </c>
      <c r="B144">
        <v>192538</v>
      </c>
      <c r="C144">
        <f>B145</f>
        <v>38380</v>
      </c>
      <c r="D144">
        <f t="shared" ref="D144:K144" si="26">C145</f>
        <v>35776</v>
      </c>
      <c r="E144">
        <f t="shared" si="26"/>
        <v>111027</v>
      </c>
      <c r="F144">
        <f t="shared" si="26"/>
        <v>152502</v>
      </c>
      <c r="G144">
        <f t="shared" si="26"/>
        <v>154225</v>
      </c>
      <c r="H144">
        <f t="shared" si="26"/>
        <v>13736</v>
      </c>
      <c r="I144">
        <f t="shared" si="26"/>
        <v>144694</v>
      </c>
      <c r="J144">
        <f t="shared" si="26"/>
        <v>404524</v>
      </c>
      <c r="K144">
        <f t="shared" si="26"/>
        <v>709480</v>
      </c>
    </row>
    <row r="145" spans="1:11">
      <c r="A145" s="1" t="s">
        <v>115</v>
      </c>
      <c r="B145" s="23">
        <f>SUM(B142:B144)</f>
        <v>38380</v>
      </c>
      <c r="C145" s="23">
        <f t="shared" ref="C145:K145" si="27">SUM(C142:C144)</f>
        <v>35776</v>
      </c>
      <c r="D145" s="23">
        <f t="shared" si="27"/>
        <v>111027</v>
      </c>
      <c r="E145" s="23">
        <f t="shared" si="27"/>
        <v>152502</v>
      </c>
      <c r="F145" s="23">
        <f t="shared" si="27"/>
        <v>154225</v>
      </c>
      <c r="G145" s="23">
        <f t="shared" si="27"/>
        <v>13736</v>
      </c>
      <c r="H145" s="23">
        <f t="shared" si="27"/>
        <v>144694</v>
      </c>
      <c r="I145" s="23">
        <f t="shared" si="27"/>
        <v>404524</v>
      </c>
      <c r="J145" s="23">
        <f t="shared" si="27"/>
        <v>709480</v>
      </c>
      <c r="K145" s="23">
        <f t="shared" si="27"/>
        <v>811084</v>
      </c>
    </row>
    <row r="147" spans="1:11">
      <c r="A147" t="s">
        <v>90</v>
      </c>
      <c r="B147">
        <v>660000</v>
      </c>
      <c r="C147">
        <v>660000</v>
      </c>
      <c r="D147">
        <v>660000</v>
      </c>
      <c r="E147">
        <v>660000</v>
      </c>
      <c r="F147">
        <v>660000</v>
      </c>
      <c r="G147">
        <v>660000</v>
      </c>
      <c r="H147">
        <v>660000</v>
      </c>
      <c r="I147">
        <v>660000</v>
      </c>
      <c r="J147">
        <v>660000</v>
      </c>
      <c r="K147">
        <v>660000</v>
      </c>
    </row>
    <row r="148" spans="1:11">
      <c r="A148" t="s">
        <v>89</v>
      </c>
      <c r="B148">
        <v>100000</v>
      </c>
      <c r="C148">
        <v>210000</v>
      </c>
      <c r="D148">
        <v>270000</v>
      </c>
      <c r="E148">
        <v>270000</v>
      </c>
      <c r="F148">
        <v>270000</v>
      </c>
      <c r="G148">
        <v>0</v>
      </c>
      <c r="H148">
        <v>70000</v>
      </c>
      <c r="I148">
        <v>140000</v>
      </c>
      <c r="J148">
        <v>210000</v>
      </c>
      <c r="K148">
        <v>280000</v>
      </c>
    </row>
    <row r="149" spans="1:11">
      <c r="A149" t="s">
        <v>88</v>
      </c>
      <c r="B149">
        <v>733023</v>
      </c>
      <c r="C149">
        <v>733023</v>
      </c>
      <c r="D149">
        <v>733023</v>
      </c>
      <c r="E149">
        <v>733023</v>
      </c>
      <c r="F149">
        <v>733023</v>
      </c>
      <c r="G149">
        <v>733023</v>
      </c>
      <c r="H149">
        <v>733023</v>
      </c>
      <c r="I149">
        <v>733023</v>
      </c>
      <c r="J149">
        <v>733023</v>
      </c>
      <c r="K149">
        <v>733023</v>
      </c>
    </row>
    <row r="150" spans="1:11">
      <c r="A150" t="s">
        <v>87</v>
      </c>
      <c r="B150">
        <v>68000</v>
      </c>
      <c r="C150">
        <v>68000</v>
      </c>
      <c r="D150">
        <v>68000</v>
      </c>
      <c r="E150">
        <v>68000</v>
      </c>
      <c r="F150">
        <v>68000</v>
      </c>
      <c r="G150">
        <v>68000</v>
      </c>
      <c r="H150">
        <v>53000</v>
      </c>
      <c r="I150">
        <v>53000</v>
      </c>
      <c r="J150">
        <v>53000</v>
      </c>
      <c r="K150">
        <v>35000</v>
      </c>
    </row>
    <row r="151" spans="1:11">
      <c r="A151" t="s">
        <v>86</v>
      </c>
    </row>
    <row r="152" spans="1:11">
      <c r="A152" t="s">
        <v>85</v>
      </c>
      <c r="B152">
        <v>400180</v>
      </c>
      <c r="C152">
        <v>400180</v>
      </c>
      <c r="D152">
        <v>400180</v>
      </c>
      <c r="E152">
        <v>400180</v>
      </c>
      <c r="F152">
        <v>400180</v>
      </c>
      <c r="G152">
        <v>400180</v>
      </c>
      <c r="H152">
        <v>400180</v>
      </c>
      <c r="I152">
        <v>400180</v>
      </c>
      <c r="J152">
        <v>400180</v>
      </c>
      <c r="K152">
        <v>400180</v>
      </c>
    </row>
    <row r="153" spans="1:11">
      <c r="A153" s="1" t="s">
        <v>114</v>
      </c>
      <c r="B153" s="23">
        <f>SUM(B145:B152)</f>
        <v>1999583</v>
      </c>
      <c r="C153" s="23">
        <f t="shared" ref="C153:K153" si="28">SUM(C145:C152)</f>
        <v>2106979</v>
      </c>
      <c r="D153" s="23">
        <f t="shared" si="28"/>
        <v>2242230</v>
      </c>
      <c r="E153" s="23">
        <f t="shared" si="28"/>
        <v>2283705</v>
      </c>
      <c r="F153" s="23">
        <f t="shared" si="28"/>
        <v>2285428</v>
      </c>
      <c r="G153" s="23">
        <f t="shared" si="28"/>
        <v>1874939</v>
      </c>
      <c r="H153" s="23">
        <f t="shared" si="28"/>
        <v>2060897</v>
      </c>
      <c r="I153" s="23">
        <f t="shared" si="28"/>
        <v>2390727</v>
      </c>
      <c r="J153" s="23">
        <f t="shared" si="28"/>
        <v>2765683</v>
      </c>
      <c r="K153" s="23">
        <f t="shared" si="28"/>
        <v>2919287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headerFooter>
    <oddHeader>&amp;C&amp;"-,Bold"JERILDERIE SHIRE COUNCIL</oddHeader>
    <oddFooter>&amp;C&amp;A&amp;R&amp;P</oddFooter>
  </headerFooter>
  <rowBreaks count="5" manualBreakCount="5">
    <brk id="30" max="16383" man="1"/>
    <brk id="55" max="16383" man="1"/>
    <brk id="84" max="16383" man="1"/>
    <brk id="108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Scenario 1 - Base</vt:lpstr>
      <vt:lpstr>Scenario 2</vt:lpstr>
      <vt:lpstr> Scenario 3 - SV</vt:lpstr>
      <vt:lpstr>' Scenario 3 - SV'!Print_Titles</vt:lpstr>
      <vt:lpstr>'Scenario 1 - Base'!Print_Titles</vt:lpstr>
      <vt:lpstr>'Scenario 2'!Print_Titles</vt:lpstr>
    </vt:vector>
  </TitlesOfParts>
  <Company>Jerilderie Shire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Sutton</dc:creator>
  <cp:lastModifiedBy>Vicki Sutton</cp:lastModifiedBy>
  <cp:lastPrinted>2015-02-16T02:39:00Z</cp:lastPrinted>
  <dcterms:created xsi:type="dcterms:W3CDTF">2015-02-14T05:41:16Z</dcterms:created>
  <dcterms:modified xsi:type="dcterms:W3CDTF">2015-02-16T02:40:20Z</dcterms:modified>
</cp:coreProperties>
</file>