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swgov-my.sharepoint.com/personal/maria_tortura_ipart_nsw_gov_au/Documents/Desktop/"/>
    </mc:Choice>
  </mc:AlternateContent>
  <xr:revisionPtr revIDLastSave="0" documentId="8_{B02F53B8-2A6F-456C-B837-A9113AADCF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ver" sheetId="12" r:id="rId1"/>
    <sheet name="Operating expenditure" sheetId="17" r:id="rId2"/>
    <sheet name="Capital expenditure" sheetId="24" r:id="rId3"/>
    <sheet name="ICD rebates" sheetId="25" r:id="rId4"/>
  </sheets>
  <definedNames>
    <definedName name="No">#REF!</definedName>
    <definedName name="_xlnm.Print_Area" localSheetId="0">Cover!$A$1:$D$56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1" i="25" l="1"/>
  <c r="K81" i="25"/>
  <c r="L197" i="24"/>
  <c r="L188" i="24"/>
  <c r="L179" i="24"/>
  <c r="L170" i="24"/>
  <c r="L161" i="24"/>
  <c r="L152" i="24"/>
  <c r="L143" i="24"/>
  <c r="L134" i="24"/>
  <c r="L125" i="24"/>
  <c r="L116" i="24"/>
  <c r="L107" i="24"/>
  <c r="L98" i="24"/>
  <c r="L89" i="24"/>
  <c r="L84" i="24"/>
  <c r="L69" i="24"/>
  <c r="L54" i="24"/>
  <c r="L39" i="24"/>
  <c r="I131" i="25" l="1"/>
  <c r="K50" i="25" l="1"/>
  <c r="I88" i="25"/>
  <c r="I89" i="25" s="1"/>
  <c r="I91" i="25" s="1"/>
  <c r="F98" i="24"/>
  <c r="H98" i="24"/>
  <c r="I98" i="24"/>
  <c r="J98" i="24"/>
  <c r="K98" i="24"/>
  <c r="M98" i="24"/>
  <c r="N98" i="24"/>
  <c r="P98" i="24"/>
  <c r="Q98" i="24"/>
  <c r="S98" i="24"/>
  <c r="O98" i="24"/>
  <c r="R98" i="24"/>
  <c r="G98" i="24"/>
  <c r="T98" i="24"/>
  <c r="F107" i="24"/>
  <c r="H107" i="24"/>
  <c r="I107" i="24"/>
  <c r="J107" i="24"/>
  <c r="K107" i="24"/>
  <c r="M107" i="24"/>
  <c r="N107" i="24"/>
  <c r="P107" i="24"/>
  <c r="Q107" i="24"/>
  <c r="S107" i="24"/>
  <c r="O107" i="24"/>
  <c r="R107" i="24"/>
  <c r="G107" i="24"/>
  <c r="T107" i="24"/>
  <c r="F116" i="24"/>
  <c r="H116" i="24"/>
  <c r="I116" i="24"/>
  <c r="J116" i="24"/>
  <c r="K116" i="24"/>
  <c r="M116" i="24"/>
  <c r="N116" i="24"/>
  <c r="P116" i="24"/>
  <c r="Q116" i="24"/>
  <c r="S116" i="24"/>
  <c r="O116" i="24"/>
  <c r="R116" i="24"/>
  <c r="G116" i="24"/>
  <c r="T116" i="24"/>
  <c r="F125" i="24"/>
  <c r="H125" i="24"/>
  <c r="I125" i="24"/>
  <c r="J125" i="24"/>
  <c r="K125" i="24"/>
  <c r="M125" i="24"/>
  <c r="N125" i="24"/>
  <c r="P125" i="24"/>
  <c r="Q125" i="24"/>
  <c r="S125" i="24"/>
  <c r="O125" i="24"/>
  <c r="R125" i="24"/>
  <c r="G125" i="24"/>
  <c r="T125" i="24"/>
  <c r="F134" i="24"/>
  <c r="H134" i="24"/>
  <c r="I134" i="24"/>
  <c r="J134" i="24"/>
  <c r="K134" i="24"/>
  <c r="M134" i="24"/>
  <c r="N134" i="24"/>
  <c r="P134" i="24"/>
  <c r="Q134" i="24"/>
  <c r="S134" i="24"/>
  <c r="O134" i="24"/>
  <c r="R134" i="24"/>
  <c r="G134" i="24"/>
  <c r="T134" i="24"/>
  <c r="F143" i="24"/>
  <c r="H143" i="24"/>
  <c r="I143" i="24"/>
  <c r="J143" i="24"/>
  <c r="K143" i="24"/>
  <c r="M143" i="24"/>
  <c r="N143" i="24"/>
  <c r="P143" i="24"/>
  <c r="Q143" i="24"/>
  <c r="S143" i="24"/>
  <c r="O143" i="24"/>
  <c r="R143" i="24"/>
  <c r="G143" i="24"/>
  <c r="T143" i="24"/>
  <c r="F152" i="24"/>
  <c r="H152" i="24"/>
  <c r="I152" i="24"/>
  <c r="J152" i="24"/>
  <c r="K152" i="24"/>
  <c r="M152" i="24"/>
  <c r="N152" i="24"/>
  <c r="P152" i="24"/>
  <c r="Q152" i="24"/>
  <c r="S152" i="24"/>
  <c r="O152" i="24"/>
  <c r="R152" i="24"/>
  <c r="G152" i="24"/>
  <c r="T152" i="24"/>
  <c r="F161" i="24"/>
  <c r="H161" i="24"/>
  <c r="I161" i="24"/>
  <c r="J161" i="24"/>
  <c r="K161" i="24"/>
  <c r="M161" i="24"/>
  <c r="N161" i="24"/>
  <c r="P161" i="24"/>
  <c r="Q161" i="24"/>
  <c r="S161" i="24"/>
  <c r="O161" i="24"/>
  <c r="R161" i="24"/>
  <c r="G161" i="24"/>
  <c r="T161" i="24"/>
  <c r="F170" i="24"/>
  <c r="H170" i="24"/>
  <c r="I170" i="24"/>
  <c r="J170" i="24"/>
  <c r="K170" i="24"/>
  <c r="M170" i="24"/>
  <c r="N170" i="24"/>
  <c r="P170" i="24"/>
  <c r="Q170" i="24"/>
  <c r="S170" i="24"/>
  <c r="O170" i="24"/>
  <c r="R170" i="24"/>
  <c r="G170" i="24"/>
  <c r="T170" i="24"/>
  <c r="F179" i="24"/>
  <c r="H179" i="24"/>
  <c r="I179" i="24"/>
  <c r="J179" i="24"/>
  <c r="K179" i="24"/>
  <c r="M179" i="24"/>
  <c r="N179" i="24"/>
  <c r="P179" i="24"/>
  <c r="Q179" i="24"/>
  <c r="S179" i="24"/>
  <c r="O179" i="24"/>
  <c r="R179" i="24"/>
  <c r="G179" i="24"/>
  <c r="T179" i="24"/>
  <c r="F188" i="24"/>
  <c r="H188" i="24"/>
  <c r="I188" i="24"/>
  <c r="J188" i="24"/>
  <c r="K188" i="24"/>
  <c r="M188" i="24"/>
  <c r="N188" i="24"/>
  <c r="P188" i="24"/>
  <c r="Q188" i="24"/>
  <c r="S188" i="24"/>
  <c r="O188" i="24"/>
  <c r="R188" i="24"/>
  <c r="G188" i="24"/>
  <c r="T188" i="24"/>
  <c r="F197" i="24"/>
  <c r="H197" i="24"/>
  <c r="I197" i="24"/>
  <c r="J197" i="24"/>
  <c r="K197" i="24"/>
  <c r="M197" i="24"/>
  <c r="N197" i="24"/>
  <c r="P197" i="24"/>
  <c r="Q197" i="24"/>
  <c r="S197" i="24"/>
  <c r="O197" i="24"/>
  <c r="R197" i="24"/>
  <c r="G197" i="24"/>
  <c r="T197" i="24"/>
  <c r="F98" i="17"/>
  <c r="G98" i="17"/>
  <c r="H98" i="17"/>
  <c r="I98" i="17"/>
  <c r="K98" i="17"/>
  <c r="M98" i="17"/>
  <c r="N98" i="17"/>
  <c r="O98" i="17"/>
  <c r="Q98" i="17"/>
  <c r="R98" i="17"/>
  <c r="T98" i="17"/>
  <c r="U98" i="17"/>
  <c r="V98" i="17"/>
  <c r="P98" i="17"/>
  <c r="S98" i="17"/>
  <c r="X98" i="17"/>
  <c r="J98" i="17"/>
  <c r="W98" i="17"/>
  <c r="L98" i="17"/>
  <c r="F107" i="17"/>
  <c r="G107" i="17"/>
  <c r="H107" i="17"/>
  <c r="I107" i="17"/>
  <c r="K107" i="17"/>
  <c r="M107" i="17"/>
  <c r="N107" i="17"/>
  <c r="O107" i="17"/>
  <c r="Q107" i="17"/>
  <c r="R107" i="17"/>
  <c r="T107" i="17"/>
  <c r="U107" i="17"/>
  <c r="V107" i="17"/>
  <c r="P107" i="17"/>
  <c r="S107" i="17"/>
  <c r="X107" i="17"/>
  <c r="J107" i="17"/>
  <c r="W107" i="17"/>
  <c r="L107" i="17"/>
  <c r="F116" i="17"/>
  <c r="G116" i="17"/>
  <c r="H116" i="17"/>
  <c r="I116" i="17"/>
  <c r="K116" i="17"/>
  <c r="M116" i="17"/>
  <c r="N116" i="17"/>
  <c r="O116" i="17"/>
  <c r="Q116" i="17"/>
  <c r="R116" i="17"/>
  <c r="T116" i="17"/>
  <c r="U116" i="17"/>
  <c r="V116" i="17"/>
  <c r="P116" i="17"/>
  <c r="S116" i="17"/>
  <c r="X116" i="17"/>
  <c r="J116" i="17"/>
  <c r="W116" i="17"/>
  <c r="L116" i="17"/>
  <c r="F125" i="17"/>
  <c r="G125" i="17"/>
  <c r="H125" i="17"/>
  <c r="I125" i="17"/>
  <c r="K125" i="17"/>
  <c r="M125" i="17"/>
  <c r="N125" i="17"/>
  <c r="O125" i="17"/>
  <c r="Q125" i="17"/>
  <c r="R125" i="17"/>
  <c r="T125" i="17"/>
  <c r="U125" i="17"/>
  <c r="V125" i="17"/>
  <c r="P125" i="17"/>
  <c r="S125" i="17"/>
  <c r="X125" i="17"/>
  <c r="J125" i="17"/>
  <c r="W125" i="17"/>
  <c r="L125" i="17"/>
  <c r="F134" i="17"/>
  <c r="G134" i="17"/>
  <c r="H134" i="17"/>
  <c r="I134" i="17"/>
  <c r="K134" i="17"/>
  <c r="M134" i="17"/>
  <c r="N134" i="17"/>
  <c r="O134" i="17"/>
  <c r="Q134" i="17"/>
  <c r="R134" i="17"/>
  <c r="T134" i="17"/>
  <c r="U134" i="17"/>
  <c r="V134" i="17"/>
  <c r="P134" i="17"/>
  <c r="S134" i="17"/>
  <c r="X134" i="17"/>
  <c r="J134" i="17"/>
  <c r="W134" i="17"/>
  <c r="L134" i="17"/>
  <c r="F143" i="17"/>
  <c r="G143" i="17"/>
  <c r="H143" i="17"/>
  <c r="I143" i="17"/>
  <c r="K143" i="17"/>
  <c r="M143" i="17"/>
  <c r="N143" i="17"/>
  <c r="O143" i="17"/>
  <c r="Q143" i="17"/>
  <c r="R143" i="17"/>
  <c r="T143" i="17"/>
  <c r="U143" i="17"/>
  <c r="V143" i="17"/>
  <c r="P143" i="17"/>
  <c r="S143" i="17"/>
  <c r="X143" i="17"/>
  <c r="J143" i="17"/>
  <c r="W143" i="17"/>
  <c r="L143" i="17"/>
  <c r="F152" i="17"/>
  <c r="G152" i="17"/>
  <c r="H152" i="17"/>
  <c r="I152" i="17"/>
  <c r="K152" i="17"/>
  <c r="M152" i="17"/>
  <c r="N152" i="17"/>
  <c r="O152" i="17"/>
  <c r="Q152" i="17"/>
  <c r="R152" i="17"/>
  <c r="T152" i="17"/>
  <c r="U152" i="17"/>
  <c r="V152" i="17"/>
  <c r="P152" i="17"/>
  <c r="S152" i="17"/>
  <c r="X152" i="17"/>
  <c r="J152" i="17"/>
  <c r="W152" i="17"/>
  <c r="L152" i="17"/>
  <c r="F161" i="17"/>
  <c r="G161" i="17"/>
  <c r="H161" i="17"/>
  <c r="I161" i="17"/>
  <c r="K161" i="17"/>
  <c r="M161" i="17"/>
  <c r="N161" i="17"/>
  <c r="O161" i="17"/>
  <c r="Q161" i="17"/>
  <c r="R161" i="17"/>
  <c r="T161" i="17"/>
  <c r="U161" i="17"/>
  <c r="V161" i="17"/>
  <c r="P161" i="17"/>
  <c r="S161" i="17"/>
  <c r="X161" i="17"/>
  <c r="J161" i="17"/>
  <c r="W161" i="17"/>
  <c r="L161" i="17"/>
  <c r="F170" i="17"/>
  <c r="G170" i="17"/>
  <c r="H170" i="17"/>
  <c r="I170" i="17"/>
  <c r="K170" i="17"/>
  <c r="M170" i="17"/>
  <c r="N170" i="17"/>
  <c r="O170" i="17"/>
  <c r="Q170" i="17"/>
  <c r="R170" i="17"/>
  <c r="T170" i="17"/>
  <c r="U170" i="17"/>
  <c r="V170" i="17"/>
  <c r="P170" i="17"/>
  <c r="S170" i="17"/>
  <c r="X170" i="17"/>
  <c r="J170" i="17"/>
  <c r="W170" i="17"/>
  <c r="L170" i="17"/>
  <c r="F179" i="17"/>
  <c r="G179" i="17"/>
  <c r="H179" i="17"/>
  <c r="I179" i="17"/>
  <c r="K179" i="17"/>
  <c r="M179" i="17"/>
  <c r="N179" i="17"/>
  <c r="O179" i="17"/>
  <c r="Q179" i="17"/>
  <c r="R179" i="17"/>
  <c r="T179" i="17"/>
  <c r="U179" i="17"/>
  <c r="V179" i="17"/>
  <c r="P179" i="17"/>
  <c r="S179" i="17"/>
  <c r="X179" i="17"/>
  <c r="J179" i="17"/>
  <c r="W179" i="17"/>
  <c r="L179" i="17"/>
  <c r="F188" i="17"/>
  <c r="G188" i="17"/>
  <c r="H188" i="17"/>
  <c r="I188" i="17"/>
  <c r="K188" i="17"/>
  <c r="M188" i="17"/>
  <c r="N188" i="17"/>
  <c r="O188" i="17"/>
  <c r="Q188" i="17"/>
  <c r="R188" i="17"/>
  <c r="T188" i="17"/>
  <c r="U188" i="17"/>
  <c r="V188" i="17"/>
  <c r="P188" i="17"/>
  <c r="S188" i="17"/>
  <c r="X188" i="17"/>
  <c r="J188" i="17"/>
  <c r="W188" i="17"/>
  <c r="L188" i="17"/>
  <c r="F197" i="17"/>
  <c r="G197" i="17"/>
  <c r="H197" i="17"/>
  <c r="I197" i="17"/>
  <c r="K197" i="17"/>
  <c r="M197" i="17"/>
  <c r="N197" i="17"/>
  <c r="O197" i="17"/>
  <c r="Q197" i="17"/>
  <c r="R197" i="17"/>
  <c r="T197" i="17"/>
  <c r="U197" i="17"/>
  <c r="V197" i="17"/>
  <c r="P197" i="17"/>
  <c r="S197" i="17"/>
  <c r="X197" i="17"/>
  <c r="J197" i="17"/>
  <c r="W197" i="17"/>
  <c r="L197" i="17"/>
  <c r="A124" i="17"/>
  <c r="Q126" i="17" s="1"/>
  <c r="A115" i="17"/>
  <c r="O117" i="17" s="1"/>
  <c r="A106" i="17"/>
  <c r="Q108" i="17" s="1"/>
  <c r="A97" i="17"/>
  <c r="L101" i="17" s="1"/>
  <c r="F89" i="17"/>
  <c r="G84" i="17"/>
  <c r="G69" i="17"/>
  <c r="G54" i="17"/>
  <c r="G39" i="17"/>
  <c r="K6" i="17"/>
  <c r="F26" i="17"/>
  <c r="T110" i="17" l="1"/>
  <c r="J120" i="17"/>
  <c r="N100" i="17"/>
  <c r="G120" i="17"/>
  <c r="G117" i="17"/>
  <c r="R117" i="17"/>
  <c r="W117" i="17"/>
  <c r="N118" i="17"/>
  <c r="S118" i="17"/>
  <c r="K119" i="17"/>
  <c r="V119" i="17"/>
  <c r="H120" i="17"/>
  <c r="T120" i="17"/>
  <c r="H117" i="17"/>
  <c r="T117" i="17"/>
  <c r="O118" i="17"/>
  <c r="X118" i="17"/>
  <c r="M119" i="17"/>
  <c r="P119" i="17"/>
  <c r="I120" i="17"/>
  <c r="U120" i="17"/>
  <c r="L120" i="17"/>
  <c r="I117" i="17"/>
  <c r="U117" i="17"/>
  <c r="L117" i="17"/>
  <c r="Q118" i="17"/>
  <c r="J118" i="17"/>
  <c r="N119" i="17"/>
  <c r="S119" i="17"/>
  <c r="K120" i="17"/>
  <c r="V120" i="17"/>
  <c r="C115" i="17"/>
  <c r="K117" i="17"/>
  <c r="V117" i="17"/>
  <c r="G118" i="17"/>
  <c r="R118" i="17"/>
  <c r="W118" i="17"/>
  <c r="O119" i="17"/>
  <c r="X119" i="17"/>
  <c r="M120" i="17"/>
  <c r="P120" i="17"/>
  <c r="M117" i="17"/>
  <c r="P117" i="17"/>
  <c r="H118" i="17"/>
  <c r="T118" i="17"/>
  <c r="Q119" i="17"/>
  <c r="J119" i="17"/>
  <c r="N120" i="17"/>
  <c r="S120" i="17"/>
  <c r="N117" i="17"/>
  <c r="S117" i="17"/>
  <c r="I118" i="17"/>
  <c r="U118" i="17"/>
  <c r="L118" i="17"/>
  <c r="R119" i="17"/>
  <c r="W119" i="17"/>
  <c r="O120" i="17"/>
  <c r="X120" i="17"/>
  <c r="G119" i="17"/>
  <c r="Q117" i="17"/>
  <c r="J117" i="17"/>
  <c r="M118" i="17"/>
  <c r="P118" i="17"/>
  <c r="I119" i="17"/>
  <c r="U119" i="17"/>
  <c r="L119" i="17"/>
  <c r="R120" i="17"/>
  <c r="W120" i="17"/>
  <c r="H128" i="17"/>
  <c r="X117" i="17"/>
  <c r="S100" i="17"/>
  <c r="M127" i="17"/>
  <c r="Q120" i="17"/>
  <c r="H110" i="17"/>
  <c r="W99" i="17"/>
  <c r="J126" i="17"/>
  <c r="P109" i="17"/>
  <c r="J102" i="17"/>
  <c r="R99" i="17"/>
  <c r="X129" i="17"/>
  <c r="T119" i="17"/>
  <c r="M109" i="17"/>
  <c r="Q102" i="17"/>
  <c r="G99" i="17"/>
  <c r="H126" i="17"/>
  <c r="T126" i="17"/>
  <c r="O127" i="17"/>
  <c r="X127" i="17"/>
  <c r="K128" i="17"/>
  <c r="V128" i="17"/>
  <c r="G129" i="17"/>
  <c r="R129" i="17"/>
  <c r="W129" i="17"/>
  <c r="I126" i="17"/>
  <c r="U126" i="17"/>
  <c r="L126" i="17"/>
  <c r="Q127" i="17"/>
  <c r="J127" i="17"/>
  <c r="M128" i="17"/>
  <c r="P128" i="17"/>
  <c r="H129" i="17"/>
  <c r="T129" i="17"/>
  <c r="C124" i="17"/>
  <c r="K126" i="17"/>
  <c r="V126" i="17"/>
  <c r="G127" i="17"/>
  <c r="R127" i="17"/>
  <c r="W127" i="17"/>
  <c r="N128" i="17"/>
  <c r="S128" i="17"/>
  <c r="I129" i="17"/>
  <c r="U129" i="17"/>
  <c r="L129" i="17"/>
  <c r="M126" i="17"/>
  <c r="P126" i="17"/>
  <c r="H127" i="17"/>
  <c r="T127" i="17"/>
  <c r="O128" i="17"/>
  <c r="X128" i="17"/>
  <c r="K129" i="17"/>
  <c r="V129" i="17"/>
  <c r="N126" i="17"/>
  <c r="S126" i="17"/>
  <c r="I127" i="17"/>
  <c r="U127" i="17"/>
  <c r="L127" i="17"/>
  <c r="Q128" i="17"/>
  <c r="J128" i="17"/>
  <c r="M129" i="17"/>
  <c r="P129" i="17"/>
  <c r="O126" i="17"/>
  <c r="X126" i="17"/>
  <c r="K127" i="17"/>
  <c r="V127" i="17"/>
  <c r="G128" i="17"/>
  <c r="R128" i="17"/>
  <c r="W128" i="17"/>
  <c r="N129" i="17"/>
  <c r="S129" i="17"/>
  <c r="G126" i="17"/>
  <c r="R126" i="17"/>
  <c r="W126" i="17"/>
  <c r="N127" i="17"/>
  <c r="S127" i="17"/>
  <c r="I128" i="17"/>
  <c r="U128" i="17"/>
  <c r="L128" i="17"/>
  <c r="Q129" i="17"/>
  <c r="J129" i="17"/>
  <c r="P127" i="17"/>
  <c r="O129" i="17"/>
  <c r="H119" i="17"/>
  <c r="J108" i="17"/>
  <c r="I99" i="17"/>
  <c r="U99" i="17"/>
  <c r="L99" i="17"/>
  <c r="Q100" i="17"/>
  <c r="J100" i="17"/>
  <c r="M101" i="17"/>
  <c r="P101" i="17"/>
  <c r="H102" i="17"/>
  <c r="T102" i="17"/>
  <c r="C97" i="17"/>
  <c r="K99" i="17"/>
  <c r="V99" i="17"/>
  <c r="G100" i="17"/>
  <c r="R100" i="17"/>
  <c r="W100" i="17"/>
  <c r="N101" i="17"/>
  <c r="S101" i="17"/>
  <c r="I102" i="17"/>
  <c r="U102" i="17"/>
  <c r="L102" i="17"/>
  <c r="M99" i="17"/>
  <c r="P99" i="17"/>
  <c r="H100" i="17"/>
  <c r="T100" i="17"/>
  <c r="O101" i="17"/>
  <c r="X101" i="17"/>
  <c r="K102" i="17"/>
  <c r="V102" i="17"/>
  <c r="N99" i="17"/>
  <c r="S99" i="17"/>
  <c r="I100" i="17"/>
  <c r="U100" i="17"/>
  <c r="L100" i="17"/>
  <c r="Q101" i="17"/>
  <c r="J101" i="17"/>
  <c r="M102" i="17"/>
  <c r="P102" i="17"/>
  <c r="O99" i="17"/>
  <c r="X99" i="17"/>
  <c r="K100" i="17"/>
  <c r="V100" i="17"/>
  <c r="G101" i="17"/>
  <c r="R101" i="17"/>
  <c r="W101" i="17"/>
  <c r="N102" i="17"/>
  <c r="S102" i="17"/>
  <c r="Q99" i="17"/>
  <c r="J99" i="17"/>
  <c r="M100" i="17"/>
  <c r="P100" i="17"/>
  <c r="H101" i="17"/>
  <c r="T101" i="17"/>
  <c r="O102" i="17"/>
  <c r="X102" i="17"/>
  <c r="H99" i="17"/>
  <c r="T99" i="17"/>
  <c r="O100" i="17"/>
  <c r="X100" i="17"/>
  <c r="K101" i="17"/>
  <c r="V101" i="17"/>
  <c r="G102" i="17"/>
  <c r="R102" i="17"/>
  <c r="W102" i="17"/>
  <c r="V118" i="17"/>
  <c r="X111" i="17"/>
  <c r="U101" i="17"/>
  <c r="H108" i="17"/>
  <c r="T108" i="17"/>
  <c r="O109" i="17"/>
  <c r="X109" i="17"/>
  <c r="K110" i="17"/>
  <c r="V110" i="17"/>
  <c r="G111" i="17"/>
  <c r="R111" i="17"/>
  <c r="W111" i="17"/>
  <c r="I108" i="17"/>
  <c r="U108" i="17"/>
  <c r="L108" i="17"/>
  <c r="Q109" i="17"/>
  <c r="J109" i="17"/>
  <c r="M110" i="17"/>
  <c r="P110" i="17"/>
  <c r="H111" i="17"/>
  <c r="T111" i="17"/>
  <c r="C106" i="17"/>
  <c r="K108" i="17"/>
  <c r="V108" i="17"/>
  <c r="G109" i="17"/>
  <c r="R109" i="17"/>
  <c r="W109" i="17"/>
  <c r="N110" i="17"/>
  <c r="S110" i="17"/>
  <c r="I111" i="17"/>
  <c r="U111" i="17"/>
  <c r="L111" i="17"/>
  <c r="M108" i="17"/>
  <c r="P108" i="17"/>
  <c r="H109" i="17"/>
  <c r="T109" i="17"/>
  <c r="O110" i="17"/>
  <c r="X110" i="17"/>
  <c r="K111" i="17"/>
  <c r="V111" i="17"/>
  <c r="N108" i="17"/>
  <c r="S108" i="17"/>
  <c r="I109" i="17"/>
  <c r="U109" i="17"/>
  <c r="L109" i="17"/>
  <c r="Q110" i="17"/>
  <c r="J110" i="17"/>
  <c r="M111" i="17"/>
  <c r="P111" i="17"/>
  <c r="O108" i="17"/>
  <c r="X108" i="17"/>
  <c r="K109" i="17"/>
  <c r="V109" i="17"/>
  <c r="G110" i="17"/>
  <c r="R110" i="17"/>
  <c r="W110" i="17"/>
  <c r="N111" i="17"/>
  <c r="S111" i="17"/>
  <c r="G108" i="17"/>
  <c r="R108" i="17"/>
  <c r="W108" i="17"/>
  <c r="N109" i="17"/>
  <c r="S109" i="17"/>
  <c r="I110" i="17"/>
  <c r="U110" i="17"/>
  <c r="L110" i="17"/>
  <c r="Q111" i="17"/>
  <c r="J111" i="17"/>
  <c r="T128" i="17"/>
  <c r="K118" i="17"/>
  <c r="O111" i="17"/>
  <c r="I101" i="17"/>
  <c r="I92" i="25"/>
  <c r="I94" i="25" s="1"/>
  <c r="I93" i="25"/>
  <c r="K19" i="24"/>
  <c r="K18" i="24"/>
  <c r="K17" i="24"/>
  <c r="K16" i="24"/>
  <c r="K15" i="24"/>
  <c r="K14" i="24"/>
  <c r="K13" i="24"/>
  <c r="K12" i="24"/>
  <c r="K11" i="24"/>
  <c r="K10" i="24"/>
  <c r="K9" i="24"/>
  <c r="K8" i="24"/>
  <c r="K7" i="24"/>
  <c r="K6" i="24"/>
  <c r="C6" i="24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C6" i="17"/>
  <c r="F109" i="17" l="1"/>
  <c r="F110" i="17"/>
  <c r="F99" i="17"/>
  <c r="F111" i="17"/>
  <c r="F102" i="17"/>
  <c r="F100" i="17"/>
  <c r="F129" i="17"/>
  <c r="F108" i="17"/>
  <c r="F101" i="17"/>
  <c r="F126" i="17"/>
  <c r="F127" i="17"/>
  <c r="F119" i="17"/>
  <c r="F117" i="17"/>
  <c r="F120" i="17"/>
  <c r="F128" i="17"/>
  <c r="F118" i="17"/>
  <c r="I137" i="25"/>
  <c r="I136" i="25"/>
  <c r="I135" i="25"/>
  <c r="I134" i="25"/>
  <c r="I133" i="25"/>
  <c r="I132" i="25"/>
  <c r="I138" i="25"/>
  <c r="I78" i="25"/>
  <c r="I79" i="25" s="1"/>
  <c r="M88" i="25"/>
  <c r="M89" i="25" s="1"/>
  <c r="M93" i="25" s="1"/>
  <c r="L88" i="25"/>
  <c r="L89" i="25" s="1"/>
  <c r="L93" i="25" s="1"/>
  <c r="K88" i="25"/>
  <c r="K89" i="25" s="1"/>
  <c r="K78" i="25"/>
  <c r="K79" i="25" s="1"/>
  <c r="L78" i="25"/>
  <c r="L79" i="25" s="1"/>
  <c r="M78" i="25"/>
  <c r="M79" i="25" s="1"/>
  <c r="I81" i="25" l="1"/>
  <c r="I83" i="25"/>
  <c r="I106" i="25" s="1"/>
  <c r="I82" i="25"/>
  <c r="I105" i="25" s="1"/>
  <c r="K93" i="25"/>
  <c r="K92" i="25"/>
  <c r="L92" i="25"/>
  <c r="M92" i="25"/>
  <c r="L91" i="25"/>
  <c r="M91" i="25"/>
  <c r="L82" i="25"/>
  <c r="L83" i="25"/>
  <c r="L106" i="25" s="1"/>
  <c r="L81" i="25"/>
  <c r="K82" i="25"/>
  <c r="K83" i="25"/>
  <c r="K106" i="25" s="1"/>
  <c r="M82" i="25"/>
  <c r="M81" i="25"/>
  <c r="M104" i="25" s="1"/>
  <c r="M83" i="25"/>
  <c r="M106" i="25" s="1"/>
  <c r="I73" i="25"/>
  <c r="I72" i="25"/>
  <c r="I71" i="25"/>
  <c r="I67" i="25"/>
  <c r="I66" i="25"/>
  <c r="I99" i="25" s="1"/>
  <c r="I65" i="25"/>
  <c r="I74" i="25" l="1"/>
  <c r="I98" i="25"/>
  <c r="I68" i="25"/>
  <c r="I104" i="25"/>
  <c r="I110" i="25" s="1"/>
  <c r="I84" i="25"/>
  <c r="K105" i="25"/>
  <c r="I100" i="25"/>
  <c r="L105" i="25"/>
  <c r="M105" i="25"/>
  <c r="K104" i="25"/>
  <c r="L104" i="25"/>
  <c r="L94" i="25"/>
  <c r="M94" i="25"/>
  <c r="K84" i="25"/>
  <c r="K94" i="25"/>
  <c r="M84" i="25"/>
  <c r="L84" i="25"/>
  <c r="I111" i="25" l="1"/>
  <c r="I112" i="25"/>
  <c r="A196" i="24" l="1"/>
  <c r="A187" i="24"/>
  <c r="A178" i="24"/>
  <c r="A169" i="24"/>
  <c r="A160" i="24"/>
  <c r="A151" i="24"/>
  <c r="A142" i="24"/>
  <c r="A133" i="24"/>
  <c r="A124" i="24"/>
  <c r="A115" i="24"/>
  <c r="A106" i="24"/>
  <c r="A97" i="24"/>
  <c r="T89" i="24"/>
  <c r="G89" i="24"/>
  <c r="R89" i="24"/>
  <c r="O89" i="24"/>
  <c r="S89" i="24"/>
  <c r="Q89" i="24"/>
  <c r="P89" i="24"/>
  <c r="N89" i="24"/>
  <c r="M89" i="24"/>
  <c r="K89" i="24"/>
  <c r="J89" i="24"/>
  <c r="I89" i="24"/>
  <c r="H89" i="24"/>
  <c r="F89" i="24"/>
  <c r="A88" i="24"/>
  <c r="A196" i="17"/>
  <c r="A187" i="17"/>
  <c r="A178" i="17"/>
  <c r="A169" i="17"/>
  <c r="A160" i="17"/>
  <c r="A151" i="17"/>
  <c r="A142" i="17"/>
  <c r="A133" i="17"/>
  <c r="C11" i="17"/>
  <c r="C10" i="17"/>
  <c r="C9" i="17"/>
  <c r="L89" i="17"/>
  <c r="W89" i="17"/>
  <c r="J89" i="17"/>
  <c r="X89" i="17"/>
  <c r="S89" i="17"/>
  <c r="P89" i="17"/>
  <c r="V89" i="17"/>
  <c r="U89" i="17"/>
  <c r="T89" i="17"/>
  <c r="R89" i="17"/>
  <c r="Q89" i="17"/>
  <c r="O89" i="17"/>
  <c r="N89" i="17"/>
  <c r="M89" i="17"/>
  <c r="K89" i="17"/>
  <c r="I89" i="17"/>
  <c r="H89" i="17"/>
  <c r="G89" i="17"/>
  <c r="A88" i="17"/>
  <c r="I39" i="24"/>
  <c r="T39" i="24"/>
  <c r="G39" i="24"/>
  <c r="J39" i="24"/>
  <c r="L138" i="24" l="1"/>
  <c r="L137" i="24"/>
  <c r="L136" i="24"/>
  <c r="L135" i="24"/>
  <c r="L156" i="24"/>
  <c r="L155" i="24"/>
  <c r="L154" i="24"/>
  <c r="L153" i="24"/>
  <c r="L144" i="24"/>
  <c r="L146" i="24"/>
  <c r="L145" i="24"/>
  <c r="L147" i="24"/>
  <c r="L162" i="24"/>
  <c r="L164" i="24"/>
  <c r="L163" i="24"/>
  <c r="L165" i="24"/>
  <c r="L102" i="24"/>
  <c r="L101" i="24"/>
  <c r="L100" i="24"/>
  <c r="L99" i="24"/>
  <c r="L174" i="24"/>
  <c r="L173" i="24"/>
  <c r="L172" i="24"/>
  <c r="L171" i="24"/>
  <c r="L108" i="24"/>
  <c r="L109" i="24"/>
  <c r="L110" i="24"/>
  <c r="L111" i="24"/>
  <c r="L180" i="24"/>
  <c r="L181" i="24"/>
  <c r="L182" i="24"/>
  <c r="L183" i="24"/>
  <c r="L120" i="24"/>
  <c r="L119" i="24"/>
  <c r="L118" i="24"/>
  <c r="L117" i="24"/>
  <c r="L192" i="24"/>
  <c r="L191" i="24"/>
  <c r="L190" i="24"/>
  <c r="L189" i="24"/>
  <c r="M90" i="24"/>
  <c r="L90" i="24"/>
  <c r="L92" i="24"/>
  <c r="L93" i="24"/>
  <c r="L91" i="24"/>
  <c r="L126" i="24"/>
  <c r="L128" i="24"/>
  <c r="L127" i="24"/>
  <c r="L129" i="24"/>
  <c r="L198" i="24"/>
  <c r="L200" i="24"/>
  <c r="L199" i="24"/>
  <c r="L201" i="24"/>
  <c r="I135" i="24"/>
  <c r="S135" i="24"/>
  <c r="N136" i="24"/>
  <c r="K137" i="24"/>
  <c r="H138" i="24"/>
  <c r="Q138" i="24"/>
  <c r="J135" i="24"/>
  <c r="T135" i="24"/>
  <c r="P136" i="24"/>
  <c r="G136" i="24"/>
  <c r="O137" i="24"/>
  <c r="I138" i="24"/>
  <c r="S138" i="24"/>
  <c r="K135" i="24"/>
  <c r="H136" i="24"/>
  <c r="Q136" i="24"/>
  <c r="M137" i="24"/>
  <c r="R137" i="24"/>
  <c r="J138" i="24"/>
  <c r="T138" i="24"/>
  <c r="O135" i="24"/>
  <c r="I136" i="24"/>
  <c r="S136" i="24"/>
  <c r="N137" i="24"/>
  <c r="K138" i="24"/>
  <c r="M135" i="24"/>
  <c r="R135" i="24"/>
  <c r="J136" i="24"/>
  <c r="T136" i="24"/>
  <c r="P137" i="24"/>
  <c r="G137" i="24"/>
  <c r="O138" i="24"/>
  <c r="N135" i="24"/>
  <c r="K136" i="24"/>
  <c r="H137" i="24"/>
  <c r="Q137" i="24"/>
  <c r="M138" i="24"/>
  <c r="R138" i="24"/>
  <c r="P135" i="24"/>
  <c r="G135" i="24"/>
  <c r="O136" i="24"/>
  <c r="I137" i="24"/>
  <c r="S137" i="24"/>
  <c r="N138" i="24"/>
  <c r="H135" i="24"/>
  <c r="Q135" i="24"/>
  <c r="M136" i="24"/>
  <c r="R136" i="24"/>
  <c r="J137" i="24"/>
  <c r="T137" i="24"/>
  <c r="P138" i="24"/>
  <c r="G138" i="24"/>
  <c r="C142" i="24"/>
  <c r="C13" i="24" s="1"/>
  <c r="I144" i="24"/>
  <c r="S144" i="24"/>
  <c r="N145" i="24"/>
  <c r="K146" i="24"/>
  <c r="H147" i="24"/>
  <c r="Q147" i="24"/>
  <c r="J144" i="24"/>
  <c r="T144" i="24"/>
  <c r="P145" i="24"/>
  <c r="G145" i="24"/>
  <c r="O146" i="24"/>
  <c r="I147" i="24"/>
  <c r="S147" i="24"/>
  <c r="K144" i="24"/>
  <c r="H145" i="24"/>
  <c r="Q145" i="24"/>
  <c r="M146" i="24"/>
  <c r="R146" i="24"/>
  <c r="J147" i="24"/>
  <c r="T147" i="24"/>
  <c r="O144" i="24"/>
  <c r="I145" i="24"/>
  <c r="S145" i="24"/>
  <c r="N146" i="24"/>
  <c r="K147" i="24"/>
  <c r="M144" i="24"/>
  <c r="R144" i="24"/>
  <c r="J145" i="24"/>
  <c r="T145" i="24"/>
  <c r="P146" i="24"/>
  <c r="G146" i="24"/>
  <c r="O147" i="24"/>
  <c r="N144" i="24"/>
  <c r="K145" i="24"/>
  <c r="H146" i="24"/>
  <c r="Q146" i="24"/>
  <c r="M147" i="24"/>
  <c r="R147" i="24"/>
  <c r="P144" i="24"/>
  <c r="G144" i="24"/>
  <c r="O145" i="24"/>
  <c r="I146" i="24"/>
  <c r="S146" i="24"/>
  <c r="N147" i="24"/>
  <c r="H144" i="24"/>
  <c r="Q144" i="24"/>
  <c r="M145" i="24"/>
  <c r="R145" i="24"/>
  <c r="J146" i="24"/>
  <c r="T146" i="24"/>
  <c r="P147" i="24"/>
  <c r="G147" i="24"/>
  <c r="C151" i="24"/>
  <c r="C14" i="24" s="1"/>
  <c r="I153" i="24"/>
  <c r="S153" i="24"/>
  <c r="N154" i="24"/>
  <c r="K155" i="24"/>
  <c r="H156" i="24"/>
  <c r="Q156" i="24"/>
  <c r="J153" i="24"/>
  <c r="T153" i="24"/>
  <c r="P154" i="24"/>
  <c r="G154" i="24"/>
  <c r="O155" i="24"/>
  <c r="I156" i="24"/>
  <c r="S156" i="24"/>
  <c r="K153" i="24"/>
  <c r="H154" i="24"/>
  <c r="Q154" i="24"/>
  <c r="M155" i="24"/>
  <c r="R155" i="24"/>
  <c r="J156" i="24"/>
  <c r="T156" i="24"/>
  <c r="O153" i="24"/>
  <c r="I154" i="24"/>
  <c r="S154" i="24"/>
  <c r="N155" i="24"/>
  <c r="K156" i="24"/>
  <c r="M153" i="24"/>
  <c r="R153" i="24"/>
  <c r="J154" i="24"/>
  <c r="T154" i="24"/>
  <c r="P155" i="24"/>
  <c r="G155" i="24"/>
  <c r="O156" i="24"/>
  <c r="N153" i="24"/>
  <c r="K154" i="24"/>
  <c r="H155" i="24"/>
  <c r="Q155" i="24"/>
  <c r="M156" i="24"/>
  <c r="R156" i="24"/>
  <c r="P153" i="24"/>
  <c r="G153" i="24"/>
  <c r="O154" i="24"/>
  <c r="I155" i="24"/>
  <c r="S155" i="24"/>
  <c r="N156" i="24"/>
  <c r="H153" i="24"/>
  <c r="Q153" i="24"/>
  <c r="M154" i="24"/>
  <c r="R154" i="24"/>
  <c r="J155" i="24"/>
  <c r="T155" i="24"/>
  <c r="P156" i="24"/>
  <c r="G156" i="24"/>
  <c r="I162" i="24"/>
  <c r="S162" i="24"/>
  <c r="N163" i="24"/>
  <c r="K164" i="24"/>
  <c r="H165" i="24"/>
  <c r="Q165" i="24"/>
  <c r="J162" i="24"/>
  <c r="T162" i="24"/>
  <c r="P163" i="24"/>
  <c r="G163" i="24"/>
  <c r="O164" i="24"/>
  <c r="I165" i="24"/>
  <c r="S165" i="24"/>
  <c r="K162" i="24"/>
  <c r="H163" i="24"/>
  <c r="Q163" i="24"/>
  <c r="M164" i="24"/>
  <c r="R164" i="24"/>
  <c r="J165" i="24"/>
  <c r="T165" i="24"/>
  <c r="O162" i="24"/>
  <c r="I163" i="24"/>
  <c r="S163" i="24"/>
  <c r="N164" i="24"/>
  <c r="K165" i="24"/>
  <c r="M162" i="24"/>
  <c r="R162" i="24"/>
  <c r="J163" i="24"/>
  <c r="T163" i="24"/>
  <c r="P164" i="24"/>
  <c r="G164" i="24"/>
  <c r="O165" i="24"/>
  <c r="N162" i="24"/>
  <c r="K163" i="24"/>
  <c r="H164" i="24"/>
  <c r="Q164" i="24"/>
  <c r="M165" i="24"/>
  <c r="R165" i="24"/>
  <c r="P162" i="24"/>
  <c r="G162" i="24"/>
  <c r="O163" i="24"/>
  <c r="I164" i="24"/>
  <c r="S164" i="24"/>
  <c r="N165" i="24"/>
  <c r="H162" i="24"/>
  <c r="Q162" i="24"/>
  <c r="M163" i="24"/>
  <c r="R163" i="24"/>
  <c r="J164" i="24"/>
  <c r="T164" i="24"/>
  <c r="P165" i="24"/>
  <c r="G165" i="24"/>
  <c r="C97" i="24"/>
  <c r="C8" i="24" s="1"/>
  <c r="I99" i="24"/>
  <c r="S99" i="24"/>
  <c r="N100" i="24"/>
  <c r="K101" i="24"/>
  <c r="H102" i="24"/>
  <c r="Q102" i="24"/>
  <c r="J99" i="24"/>
  <c r="T99" i="24"/>
  <c r="P100" i="24"/>
  <c r="G100" i="24"/>
  <c r="O101" i="24"/>
  <c r="I102" i="24"/>
  <c r="S102" i="24"/>
  <c r="K99" i="24"/>
  <c r="H100" i="24"/>
  <c r="Q100" i="24"/>
  <c r="M101" i="24"/>
  <c r="R101" i="24"/>
  <c r="J102" i="24"/>
  <c r="T102" i="24"/>
  <c r="O99" i="24"/>
  <c r="I100" i="24"/>
  <c r="S100" i="24"/>
  <c r="N101" i="24"/>
  <c r="K102" i="24"/>
  <c r="M99" i="24"/>
  <c r="R99" i="24"/>
  <c r="J100" i="24"/>
  <c r="T100" i="24"/>
  <c r="P101" i="24"/>
  <c r="G101" i="24"/>
  <c r="O102" i="24"/>
  <c r="N99" i="24"/>
  <c r="K100" i="24"/>
  <c r="H101" i="24"/>
  <c r="Q101" i="24"/>
  <c r="M102" i="24"/>
  <c r="R102" i="24"/>
  <c r="P99" i="24"/>
  <c r="G99" i="24"/>
  <c r="O100" i="24"/>
  <c r="I101" i="24"/>
  <c r="S101" i="24"/>
  <c r="N102" i="24"/>
  <c r="H99" i="24"/>
  <c r="Q99" i="24"/>
  <c r="M100" i="24"/>
  <c r="R100" i="24"/>
  <c r="J101" i="24"/>
  <c r="T101" i="24"/>
  <c r="P102" i="24"/>
  <c r="G102" i="24"/>
  <c r="C169" i="24"/>
  <c r="C16" i="24" s="1"/>
  <c r="I171" i="24"/>
  <c r="S171" i="24"/>
  <c r="N172" i="24"/>
  <c r="J171" i="24"/>
  <c r="T171" i="24"/>
  <c r="P172" i="24"/>
  <c r="G172" i="24"/>
  <c r="K171" i="24"/>
  <c r="H172" i="24"/>
  <c r="Q172" i="24"/>
  <c r="O171" i="24"/>
  <c r="I172" i="24"/>
  <c r="S172" i="24"/>
  <c r="N173" i="24"/>
  <c r="M171" i="24"/>
  <c r="R171" i="24"/>
  <c r="J172" i="24"/>
  <c r="T172" i="24"/>
  <c r="N171" i="24"/>
  <c r="K172" i="24"/>
  <c r="P171" i="24"/>
  <c r="G171" i="24"/>
  <c r="O172" i="24"/>
  <c r="I173" i="24"/>
  <c r="H171" i="24"/>
  <c r="Q171" i="24"/>
  <c r="M172" i="24"/>
  <c r="R172" i="24"/>
  <c r="J173" i="24"/>
  <c r="H174" i="24"/>
  <c r="Q174" i="24"/>
  <c r="K173" i="24"/>
  <c r="O173" i="24"/>
  <c r="I174" i="24"/>
  <c r="S174" i="24"/>
  <c r="R173" i="24"/>
  <c r="J174" i="24"/>
  <c r="T174" i="24"/>
  <c r="M173" i="24"/>
  <c r="K174" i="24"/>
  <c r="P173" i="24"/>
  <c r="G173" i="24"/>
  <c r="O174" i="24"/>
  <c r="Q173" i="24"/>
  <c r="M174" i="24"/>
  <c r="R174" i="24"/>
  <c r="S173" i="24"/>
  <c r="N174" i="24"/>
  <c r="H173" i="24"/>
  <c r="T173" i="24"/>
  <c r="P174" i="24"/>
  <c r="G174" i="24"/>
  <c r="C178" i="24"/>
  <c r="C17" i="24" s="1"/>
  <c r="I180" i="24"/>
  <c r="S180" i="24"/>
  <c r="N181" i="24"/>
  <c r="K182" i="24"/>
  <c r="H183" i="24"/>
  <c r="Q183" i="24"/>
  <c r="J180" i="24"/>
  <c r="T180" i="24"/>
  <c r="P181" i="24"/>
  <c r="G181" i="24"/>
  <c r="O182" i="24"/>
  <c r="I183" i="24"/>
  <c r="S183" i="24"/>
  <c r="K180" i="24"/>
  <c r="H181" i="24"/>
  <c r="Q181" i="24"/>
  <c r="M182" i="24"/>
  <c r="R182" i="24"/>
  <c r="J183" i="24"/>
  <c r="T183" i="24"/>
  <c r="O180" i="24"/>
  <c r="I181" i="24"/>
  <c r="S181" i="24"/>
  <c r="N182" i="24"/>
  <c r="K183" i="24"/>
  <c r="M180" i="24"/>
  <c r="R180" i="24"/>
  <c r="J181" i="24"/>
  <c r="T181" i="24"/>
  <c r="P182" i="24"/>
  <c r="G182" i="24"/>
  <c r="O183" i="24"/>
  <c r="N180" i="24"/>
  <c r="K181" i="24"/>
  <c r="H182" i="24"/>
  <c r="Q182" i="24"/>
  <c r="M183" i="24"/>
  <c r="R183" i="24"/>
  <c r="P180" i="24"/>
  <c r="G180" i="24"/>
  <c r="O181" i="24"/>
  <c r="I182" i="24"/>
  <c r="S182" i="24"/>
  <c r="N183" i="24"/>
  <c r="H180" i="24"/>
  <c r="Q180" i="24"/>
  <c r="M181" i="24"/>
  <c r="R181" i="24"/>
  <c r="J182" i="24"/>
  <c r="T182" i="24"/>
  <c r="P183" i="24"/>
  <c r="G183" i="24"/>
  <c r="C115" i="24"/>
  <c r="C10" i="24" s="1"/>
  <c r="I117" i="24"/>
  <c r="S117" i="24"/>
  <c r="N118" i="24"/>
  <c r="K119" i="24"/>
  <c r="H120" i="24"/>
  <c r="Q120" i="24"/>
  <c r="J117" i="24"/>
  <c r="T117" i="24"/>
  <c r="P118" i="24"/>
  <c r="G118" i="24"/>
  <c r="O119" i="24"/>
  <c r="I120" i="24"/>
  <c r="S120" i="24"/>
  <c r="K117" i="24"/>
  <c r="H118" i="24"/>
  <c r="Q118" i="24"/>
  <c r="M119" i="24"/>
  <c r="R119" i="24"/>
  <c r="J120" i="24"/>
  <c r="T120" i="24"/>
  <c r="O117" i="24"/>
  <c r="I118" i="24"/>
  <c r="S118" i="24"/>
  <c r="N119" i="24"/>
  <c r="K120" i="24"/>
  <c r="M117" i="24"/>
  <c r="R117" i="24"/>
  <c r="J118" i="24"/>
  <c r="T118" i="24"/>
  <c r="P119" i="24"/>
  <c r="G119" i="24"/>
  <c r="O120" i="24"/>
  <c r="N117" i="24"/>
  <c r="K118" i="24"/>
  <c r="H119" i="24"/>
  <c r="Q119" i="24"/>
  <c r="M120" i="24"/>
  <c r="R120" i="24"/>
  <c r="P117" i="24"/>
  <c r="G117" i="24"/>
  <c r="O118" i="24"/>
  <c r="I119" i="24"/>
  <c r="S119" i="24"/>
  <c r="N120" i="24"/>
  <c r="H117" i="24"/>
  <c r="Q117" i="24"/>
  <c r="M118" i="24"/>
  <c r="R118" i="24"/>
  <c r="J119" i="24"/>
  <c r="T119" i="24"/>
  <c r="P120" i="24"/>
  <c r="G120" i="24"/>
  <c r="C187" i="24"/>
  <c r="C18" i="24" s="1"/>
  <c r="I189" i="24"/>
  <c r="S189" i="24"/>
  <c r="N190" i="24"/>
  <c r="K191" i="24"/>
  <c r="H192" i="24"/>
  <c r="Q192" i="24"/>
  <c r="J189" i="24"/>
  <c r="T189" i="24"/>
  <c r="P190" i="24"/>
  <c r="G190" i="24"/>
  <c r="O191" i="24"/>
  <c r="I192" i="24"/>
  <c r="S192" i="24"/>
  <c r="K189" i="24"/>
  <c r="H190" i="24"/>
  <c r="Q190" i="24"/>
  <c r="M191" i="24"/>
  <c r="R191" i="24"/>
  <c r="J192" i="24"/>
  <c r="T192" i="24"/>
  <c r="O189" i="24"/>
  <c r="I190" i="24"/>
  <c r="S190" i="24"/>
  <c r="N191" i="24"/>
  <c r="K192" i="24"/>
  <c r="M189" i="24"/>
  <c r="R189" i="24"/>
  <c r="J190" i="24"/>
  <c r="T190" i="24"/>
  <c r="P191" i="24"/>
  <c r="G191" i="24"/>
  <c r="O192" i="24"/>
  <c r="N189" i="24"/>
  <c r="K190" i="24"/>
  <c r="H191" i="24"/>
  <c r="Q191" i="24"/>
  <c r="M192" i="24"/>
  <c r="R192" i="24"/>
  <c r="P189" i="24"/>
  <c r="G189" i="24"/>
  <c r="O190" i="24"/>
  <c r="I191" i="24"/>
  <c r="S191" i="24"/>
  <c r="N192" i="24"/>
  <c r="H189" i="24"/>
  <c r="Q189" i="24"/>
  <c r="M190" i="24"/>
  <c r="R190" i="24"/>
  <c r="J191" i="24"/>
  <c r="T191" i="24"/>
  <c r="P192" i="24"/>
  <c r="G192" i="24"/>
  <c r="I108" i="24"/>
  <c r="S108" i="24"/>
  <c r="N109" i="24"/>
  <c r="K110" i="24"/>
  <c r="H111" i="24"/>
  <c r="Q111" i="24"/>
  <c r="J108" i="24"/>
  <c r="T108" i="24"/>
  <c r="P109" i="24"/>
  <c r="G109" i="24"/>
  <c r="O110" i="24"/>
  <c r="I111" i="24"/>
  <c r="S111" i="24"/>
  <c r="K108" i="24"/>
  <c r="H109" i="24"/>
  <c r="Q109" i="24"/>
  <c r="M110" i="24"/>
  <c r="R110" i="24"/>
  <c r="J111" i="24"/>
  <c r="T111" i="24"/>
  <c r="O108" i="24"/>
  <c r="I109" i="24"/>
  <c r="S109" i="24"/>
  <c r="N110" i="24"/>
  <c r="K111" i="24"/>
  <c r="M108" i="24"/>
  <c r="R108" i="24"/>
  <c r="J109" i="24"/>
  <c r="T109" i="24"/>
  <c r="P110" i="24"/>
  <c r="G110" i="24"/>
  <c r="O111" i="24"/>
  <c r="N108" i="24"/>
  <c r="K109" i="24"/>
  <c r="H110" i="24"/>
  <c r="Q110" i="24"/>
  <c r="M111" i="24"/>
  <c r="R111" i="24"/>
  <c r="P108" i="24"/>
  <c r="G108" i="24"/>
  <c r="O109" i="24"/>
  <c r="I110" i="24"/>
  <c r="S110" i="24"/>
  <c r="N111" i="24"/>
  <c r="H108" i="24"/>
  <c r="Q108" i="24"/>
  <c r="M109" i="24"/>
  <c r="R109" i="24"/>
  <c r="J110" i="24"/>
  <c r="T110" i="24"/>
  <c r="P111" i="24"/>
  <c r="G111" i="24"/>
  <c r="C88" i="24"/>
  <c r="C7" i="24" s="1"/>
  <c r="H93" i="24"/>
  <c r="H92" i="24"/>
  <c r="H90" i="24"/>
  <c r="H91" i="24"/>
  <c r="C124" i="24"/>
  <c r="C11" i="24" s="1"/>
  <c r="I126" i="24"/>
  <c r="S126" i="24"/>
  <c r="N127" i="24"/>
  <c r="K128" i="24"/>
  <c r="H129" i="24"/>
  <c r="Q129" i="24"/>
  <c r="J126" i="24"/>
  <c r="T126" i="24"/>
  <c r="P127" i="24"/>
  <c r="G127" i="24"/>
  <c r="O128" i="24"/>
  <c r="I129" i="24"/>
  <c r="S129" i="24"/>
  <c r="K126" i="24"/>
  <c r="H127" i="24"/>
  <c r="Q127" i="24"/>
  <c r="M128" i="24"/>
  <c r="R128" i="24"/>
  <c r="J129" i="24"/>
  <c r="T129" i="24"/>
  <c r="O126" i="24"/>
  <c r="I127" i="24"/>
  <c r="S127" i="24"/>
  <c r="N128" i="24"/>
  <c r="K129" i="24"/>
  <c r="M126" i="24"/>
  <c r="R126" i="24"/>
  <c r="J127" i="24"/>
  <c r="T127" i="24"/>
  <c r="P128" i="24"/>
  <c r="G128" i="24"/>
  <c r="O129" i="24"/>
  <c r="N126" i="24"/>
  <c r="K127" i="24"/>
  <c r="H128" i="24"/>
  <c r="Q128" i="24"/>
  <c r="M129" i="24"/>
  <c r="R129" i="24"/>
  <c r="P126" i="24"/>
  <c r="G126" i="24"/>
  <c r="O127" i="24"/>
  <c r="I128" i="24"/>
  <c r="S128" i="24"/>
  <c r="N129" i="24"/>
  <c r="H126" i="24"/>
  <c r="Q126" i="24"/>
  <c r="M127" i="24"/>
  <c r="R127" i="24"/>
  <c r="J128" i="24"/>
  <c r="T128" i="24"/>
  <c r="P129" i="24"/>
  <c r="G129" i="24"/>
  <c r="C196" i="24"/>
  <c r="C19" i="24" s="1"/>
  <c r="I198" i="24"/>
  <c r="S198" i="24"/>
  <c r="N199" i="24"/>
  <c r="K200" i="24"/>
  <c r="H201" i="24"/>
  <c r="Q201" i="24"/>
  <c r="I199" i="24"/>
  <c r="O201" i="24"/>
  <c r="J198" i="24"/>
  <c r="T198" i="24"/>
  <c r="P199" i="24"/>
  <c r="G199" i="24"/>
  <c r="O200" i="24"/>
  <c r="I201" i="24"/>
  <c r="S201" i="24"/>
  <c r="N201" i="24"/>
  <c r="K198" i="24"/>
  <c r="H199" i="24"/>
  <c r="Q199" i="24"/>
  <c r="M200" i="24"/>
  <c r="R200" i="24"/>
  <c r="J201" i="24"/>
  <c r="T201" i="24"/>
  <c r="O198" i="24"/>
  <c r="S199" i="24"/>
  <c r="N200" i="24"/>
  <c r="K201" i="24"/>
  <c r="R201" i="24"/>
  <c r="M198" i="24"/>
  <c r="R198" i="24"/>
  <c r="J199" i="24"/>
  <c r="T199" i="24"/>
  <c r="P200" i="24"/>
  <c r="G200" i="24"/>
  <c r="N198" i="24"/>
  <c r="K199" i="24"/>
  <c r="H200" i="24"/>
  <c r="Q200" i="24"/>
  <c r="M201" i="24"/>
  <c r="P198" i="24"/>
  <c r="G198" i="24"/>
  <c r="O199" i="24"/>
  <c r="I200" i="24"/>
  <c r="S200" i="24"/>
  <c r="H198" i="24"/>
  <c r="Q198" i="24"/>
  <c r="M199" i="24"/>
  <c r="R199" i="24"/>
  <c r="J200" i="24"/>
  <c r="T200" i="24"/>
  <c r="P201" i="24"/>
  <c r="G201" i="24"/>
  <c r="O153" i="17"/>
  <c r="X153" i="17"/>
  <c r="K154" i="17"/>
  <c r="V154" i="17"/>
  <c r="G155" i="17"/>
  <c r="R155" i="17"/>
  <c r="W155" i="17"/>
  <c r="N156" i="17"/>
  <c r="S156" i="17"/>
  <c r="Q153" i="17"/>
  <c r="J153" i="17"/>
  <c r="M154" i="17"/>
  <c r="P154" i="17"/>
  <c r="H155" i="17"/>
  <c r="T155" i="17"/>
  <c r="O156" i="17"/>
  <c r="X156" i="17"/>
  <c r="G153" i="17"/>
  <c r="R153" i="17"/>
  <c r="W153" i="17"/>
  <c r="N154" i="17"/>
  <c r="S154" i="17"/>
  <c r="I155" i="17"/>
  <c r="U155" i="17"/>
  <c r="L155" i="17"/>
  <c r="Q156" i="17"/>
  <c r="J156" i="17"/>
  <c r="H153" i="17"/>
  <c r="T153" i="17"/>
  <c r="O154" i="17"/>
  <c r="X154" i="17"/>
  <c r="K155" i="17"/>
  <c r="V155" i="17"/>
  <c r="G156" i="17"/>
  <c r="R156" i="17"/>
  <c r="W156" i="17"/>
  <c r="I153" i="17"/>
  <c r="U153" i="17"/>
  <c r="L153" i="17"/>
  <c r="Q154" i="17"/>
  <c r="J154" i="17"/>
  <c r="M155" i="17"/>
  <c r="P155" i="17"/>
  <c r="H156" i="17"/>
  <c r="T156" i="17"/>
  <c r="C151" i="17"/>
  <c r="K153" i="17"/>
  <c r="V153" i="17"/>
  <c r="G154" i="17"/>
  <c r="R154" i="17"/>
  <c r="W154" i="17"/>
  <c r="N155" i="17"/>
  <c r="S155" i="17"/>
  <c r="I156" i="17"/>
  <c r="U156" i="17"/>
  <c r="L156" i="17"/>
  <c r="N153" i="17"/>
  <c r="S153" i="17"/>
  <c r="I154" i="17"/>
  <c r="U154" i="17"/>
  <c r="L154" i="17"/>
  <c r="Q155" i="17"/>
  <c r="J155" i="17"/>
  <c r="M156" i="17"/>
  <c r="P156" i="17"/>
  <c r="X155" i="17"/>
  <c r="K156" i="17"/>
  <c r="M153" i="17"/>
  <c r="V156" i="17"/>
  <c r="P153" i="17"/>
  <c r="H154" i="17"/>
  <c r="T154" i="17"/>
  <c r="O155" i="17"/>
  <c r="G91" i="17"/>
  <c r="G90" i="17"/>
  <c r="G93" i="17"/>
  <c r="G92" i="17"/>
  <c r="C88" i="17"/>
  <c r="Q144" i="17"/>
  <c r="J144" i="17"/>
  <c r="M145" i="17"/>
  <c r="P145" i="17"/>
  <c r="H146" i="17"/>
  <c r="T146" i="17"/>
  <c r="O147" i="17"/>
  <c r="X147" i="17"/>
  <c r="G144" i="17"/>
  <c r="R144" i="17"/>
  <c r="W144" i="17"/>
  <c r="N145" i="17"/>
  <c r="S145" i="17"/>
  <c r="I146" i="17"/>
  <c r="U146" i="17"/>
  <c r="L146" i="17"/>
  <c r="Q147" i="17"/>
  <c r="J147" i="17"/>
  <c r="H144" i="17"/>
  <c r="T144" i="17"/>
  <c r="O145" i="17"/>
  <c r="X145" i="17"/>
  <c r="K146" i="17"/>
  <c r="V146" i="17"/>
  <c r="G147" i="17"/>
  <c r="R147" i="17"/>
  <c r="W147" i="17"/>
  <c r="I144" i="17"/>
  <c r="U144" i="17"/>
  <c r="L144" i="17"/>
  <c r="Q145" i="17"/>
  <c r="J145" i="17"/>
  <c r="M146" i="17"/>
  <c r="P146" i="17"/>
  <c r="H147" i="17"/>
  <c r="T147" i="17"/>
  <c r="C142" i="17"/>
  <c r="C13" i="17" s="1"/>
  <c r="K144" i="17"/>
  <c r="V144" i="17"/>
  <c r="G145" i="17"/>
  <c r="R145" i="17"/>
  <c r="W145" i="17"/>
  <c r="N146" i="17"/>
  <c r="S146" i="17"/>
  <c r="I147" i="17"/>
  <c r="U147" i="17"/>
  <c r="L147" i="17"/>
  <c r="M144" i="17"/>
  <c r="P144" i="17"/>
  <c r="H145" i="17"/>
  <c r="T145" i="17"/>
  <c r="O146" i="17"/>
  <c r="X146" i="17"/>
  <c r="K147" i="17"/>
  <c r="V147" i="17"/>
  <c r="O144" i="17"/>
  <c r="X144" i="17"/>
  <c r="K145" i="17"/>
  <c r="V145" i="17"/>
  <c r="G146" i="17"/>
  <c r="R146" i="17"/>
  <c r="W146" i="17"/>
  <c r="N147" i="17"/>
  <c r="S147" i="17"/>
  <c r="U145" i="17"/>
  <c r="L145" i="17"/>
  <c r="Q146" i="17"/>
  <c r="S144" i="17"/>
  <c r="J146" i="17"/>
  <c r="M147" i="17"/>
  <c r="N144" i="17"/>
  <c r="P147" i="17"/>
  <c r="I145" i="17"/>
  <c r="N162" i="17"/>
  <c r="S162" i="17"/>
  <c r="I163" i="17"/>
  <c r="U163" i="17"/>
  <c r="L163" i="17"/>
  <c r="Q164" i="17"/>
  <c r="J164" i="17"/>
  <c r="M165" i="17"/>
  <c r="P165" i="17"/>
  <c r="O162" i="17"/>
  <c r="X162" i="17"/>
  <c r="K163" i="17"/>
  <c r="V163" i="17"/>
  <c r="G164" i="17"/>
  <c r="R164" i="17"/>
  <c r="W164" i="17"/>
  <c r="N165" i="17"/>
  <c r="S165" i="17"/>
  <c r="Q162" i="17"/>
  <c r="J162" i="17"/>
  <c r="M163" i="17"/>
  <c r="P163" i="17"/>
  <c r="H164" i="17"/>
  <c r="T164" i="17"/>
  <c r="O165" i="17"/>
  <c r="X165" i="17"/>
  <c r="G162" i="17"/>
  <c r="R162" i="17"/>
  <c r="W162" i="17"/>
  <c r="N163" i="17"/>
  <c r="S163" i="17"/>
  <c r="I164" i="17"/>
  <c r="U164" i="17"/>
  <c r="L164" i="17"/>
  <c r="Q165" i="17"/>
  <c r="J165" i="17"/>
  <c r="H162" i="17"/>
  <c r="T162" i="17"/>
  <c r="O163" i="17"/>
  <c r="X163" i="17"/>
  <c r="K164" i="17"/>
  <c r="V164" i="17"/>
  <c r="G165" i="17"/>
  <c r="R165" i="17"/>
  <c r="W165" i="17"/>
  <c r="I162" i="17"/>
  <c r="U162" i="17"/>
  <c r="L162" i="17"/>
  <c r="Q163" i="17"/>
  <c r="J163" i="17"/>
  <c r="M164" i="17"/>
  <c r="P164" i="17"/>
  <c r="H165" i="17"/>
  <c r="T165" i="17"/>
  <c r="M162" i="17"/>
  <c r="P162" i="17"/>
  <c r="H163" i="17"/>
  <c r="T163" i="17"/>
  <c r="O164" i="17"/>
  <c r="X164" i="17"/>
  <c r="K165" i="17"/>
  <c r="V165" i="17"/>
  <c r="K162" i="17"/>
  <c r="U165" i="17"/>
  <c r="V162" i="17"/>
  <c r="L165" i="17"/>
  <c r="G163" i="17"/>
  <c r="C160" i="17"/>
  <c r="C15" i="17" s="1"/>
  <c r="R163" i="17"/>
  <c r="S164" i="17"/>
  <c r="W163" i="17"/>
  <c r="N164" i="17"/>
  <c r="I165" i="17"/>
  <c r="M171" i="17"/>
  <c r="P171" i="17"/>
  <c r="H172" i="17"/>
  <c r="T172" i="17"/>
  <c r="O173" i="17"/>
  <c r="X173" i="17"/>
  <c r="N171" i="17"/>
  <c r="S171" i="17"/>
  <c r="I172" i="17"/>
  <c r="U172" i="17"/>
  <c r="L172" i="17"/>
  <c r="Q173" i="17"/>
  <c r="O171" i="17"/>
  <c r="X171" i="17"/>
  <c r="K172" i="17"/>
  <c r="V172" i="17"/>
  <c r="G173" i="17"/>
  <c r="R173" i="17"/>
  <c r="Q171" i="17"/>
  <c r="J171" i="17"/>
  <c r="M172" i="17"/>
  <c r="P172" i="17"/>
  <c r="H173" i="17"/>
  <c r="G171" i="17"/>
  <c r="R171" i="17"/>
  <c r="W171" i="17"/>
  <c r="N172" i="17"/>
  <c r="S172" i="17"/>
  <c r="I173" i="17"/>
  <c r="U173" i="17"/>
  <c r="L173" i="17"/>
  <c r="Q174" i="17"/>
  <c r="H171" i="17"/>
  <c r="T171" i="17"/>
  <c r="O172" i="17"/>
  <c r="X172" i="17"/>
  <c r="K173" i="17"/>
  <c r="C169" i="17"/>
  <c r="C16" i="17" s="1"/>
  <c r="K171" i="17"/>
  <c r="V171" i="17"/>
  <c r="G172" i="17"/>
  <c r="R172" i="17"/>
  <c r="L171" i="17"/>
  <c r="P173" i="17"/>
  <c r="K174" i="17"/>
  <c r="P174" i="17"/>
  <c r="Q172" i="17"/>
  <c r="S173" i="17"/>
  <c r="M174" i="17"/>
  <c r="S174" i="17"/>
  <c r="J172" i="17"/>
  <c r="J173" i="17"/>
  <c r="N174" i="17"/>
  <c r="X174" i="17"/>
  <c r="L174" i="17"/>
  <c r="W172" i="17"/>
  <c r="W173" i="17"/>
  <c r="O174" i="17"/>
  <c r="J174" i="17"/>
  <c r="I171" i="17"/>
  <c r="T173" i="17"/>
  <c r="H174" i="17"/>
  <c r="U174" i="17"/>
  <c r="M173" i="17"/>
  <c r="R174" i="17"/>
  <c r="W174" i="17"/>
  <c r="N173" i="17"/>
  <c r="G174" i="17"/>
  <c r="T174" i="17"/>
  <c r="U171" i="17"/>
  <c r="V173" i="17"/>
  <c r="I174" i="17"/>
  <c r="V174" i="17"/>
  <c r="M180" i="17"/>
  <c r="P180" i="17"/>
  <c r="H181" i="17"/>
  <c r="T181" i="17"/>
  <c r="O182" i="17"/>
  <c r="X182" i="17"/>
  <c r="K183" i="17"/>
  <c r="V183" i="17"/>
  <c r="N180" i="17"/>
  <c r="S180" i="17"/>
  <c r="I181" i="17"/>
  <c r="U181" i="17"/>
  <c r="L181" i="17"/>
  <c r="Q182" i="17"/>
  <c r="J182" i="17"/>
  <c r="M183" i="17"/>
  <c r="P183" i="17"/>
  <c r="O180" i="17"/>
  <c r="X180" i="17"/>
  <c r="K181" i="17"/>
  <c r="V181" i="17"/>
  <c r="G182" i="17"/>
  <c r="R182" i="17"/>
  <c r="W182" i="17"/>
  <c r="N183" i="17"/>
  <c r="S183" i="17"/>
  <c r="P182" i="17"/>
  <c r="Q180" i="17"/>
  <c r="J180" i="17"/>
  <c r="M181" i="17"/>
  <c r="P181" i="17"/>
  <c r="H182" i="17"/>
  <c r="T182" i="17"/>
  <c r="O183" i="17"/>
  <c r="X183" i="17"/>
  <c r="I180" i="17"/>
  <c r="L180" i="17"/>
  <c r="Q181" i="17"/>
  <c r="J181" i="17"/>
  <c r="M182" i="17"/>
  <c r="H183" i="17"/>
  <c r="G180" i="17"/>
  <c r="R180" i="17"/>
  <c r="W180" i="17"/>
  <c r="N181" i="17"/>
  <c r="S181" i="17"/>
  <c r="I182" i="17"/>
  <c r="U182" i="17"/>
  <c r="L182" i="17"/>
  <c r="Q183" i="17"/>
  <c r="J183" i="17"/>
  <c r="H180" i="17"/>
  <c r="T180" i="17"/>
  <c r="O181" i="17"/>
  <c r="X181" i="17"/>
  <c r="K182" i="17"/>
  <c r="V182" i="17"/>
  <c r="G183" i="17"/>
  <c r="R183" i="17"/>
  <c r="W183" i="17"/>
  <c r="C178" i="17"/>
  <c r="C17" i="17" s="1"/>
  <c r="K180" i="17"/>
  <c r="V180" i="17"/>
  <c r="G181" i="17"/>
  <c r="R181" i="17"/>
  <c r="W181" i="17"/>
  <c r="N182" i="17"/>
  <c r="S182" i="17"/>
  <c r="I183" i="17"/>
  <c r="U183" i="17"/>
  <c r="L183" i="17"/>
  <c r="U180" i="17"/>
  <c r="T183" i="17"/>
  <c r="I90" i="17"/>
  <c r="C187" i="17"/>
  <c r="C18" i="17" s="1"/>
  <c r="K189" i="17"/>
  <c r="V189" i="17"/>
  <c r="G190" i="17"/>
  <c r="R190" i="17"/>
  <c r="W190" i="17"/>
  <c r="N191" i="17"/>
  <c r="S191" i="17"/>
  <c r="I192" i="17"/>
  <c r="U192" i="17"/>
  <c r="L192" i="17"/>
  <c r="M189" i="17"/>
  <c r="P189" i="17"/>
  <c r="H190" i="17"/>
  <c r="T190" i="17"/>
  <c r="O191" i="17"/>
  <c r="X191" i="17"/>
  <c r="K192" i="17"/>
  <c r="V192" i="17"/>
  <c r="N189" i="17"/>
  <c r="S189" i="17"/>
  <c r="I190" i="17"/>
  <c r="U190" i="17"/>
  <c r="L190" i="17"/>
  <c r="Q191" i="17"/>
  <c r="J191" i="17"/>
  <c r="M192" i="17"/>
  <c r="P192" i="17"/>
  <c r="K191" i="17"/>
  <c r="R192" i="17"/>
  <c r="O189" i="17"/>
  <c r="X189" i="17"/>
  <c r="K190" i="17"/>
  <c r="V190" i="17"/>
  <c r="G191" i="17"/>
  <c r="R191" i="17"/>
  <c r="W191" i="17"/>
  <c r="N192" i="17"/>
  <c r="S192" i="17"/>
  <c r="O190" i="17"/>
  <c r="V191" i="17"/>
  <c r="W192" i="17"/>
  <c r="Q189" i="17"/>
  <c r="J189" i="17"/>
  <c r="M190" i="17"/>
  <c r="P190" i="17"/>
  <c r="H191" i="17"/>
  <c r="T191" i="17"/>
  <c r="O192" i="17"/>
  <c r="X192" i="17"/>
  <c r="G189" i="17"/>
  <c r="R189" i="17"/>
  <c r="W189" i="17"/>
  <c r="N190" i="17"/>
  <c r="S190" i="17"/>
  <c r="I191" i="17"/>
  <c r="U191" i="17"/>
  <c r="L191" i="17"/>
  <c r="Q192" i="17"/>
  <c r="J192" i="17"/>
  <c r="I189" i="17"/>
  <c r="U189" i="17"/>
  <c r="L189" i="17"/>
  <c r="Q190" i="17"/>
  <c r="J190" i="17"/>
  <c r="M191" i="17"/>
  <c r="P191" i="17"/>
  <c r="H192" i="17"/>
  <c r="T192" i="17"/>
  <c r="H189" i="17"/>
  <c r="T189" i="17"/>
  <c r="X190" i="17"/>
  <c r="G192" i="17"/>
  <c r="I198" i="17"/>
  <c r="U198" i="17"/>
  <c r="L198" i="17"/>
  <c r="Q199" i="17"/>
  <c r="J199" i="17"/>
  <c r="M200" i="17"/>
  <c r="P200" i="17"/>
  <c r="H201" i="17"/>
  <c r="T201" i="17"/>
  <c r="C196" i="17"/>
  <c r="C19" i="17" s="1"/>
  <c r="K198" i="17"/>
  <c r="V198" i="17"/>
  <c r="G199" i="17"/>
  <c r="R199" i="17"/>
  <c r="W199" i="17"/>
  <c r="N200" i="17"/>
  <c r="S200" i="17"/>
  <c r="I201" i="17"/>
  <c r="U201" i="17"/>
  <c r="L201" i="17"/>
  <c r="P201" i="17"/>
  <c r="J198" i="17"/>
  <c r="P199" i="17"/>
  <c r="T200" i="17"/>
  <c r="O201" i="17"/>
  <c r="M198" i="17"/>
  <c r="P198" i="17"/>
  <c r="H199" i="17"/>
  <c r="T199" i="17"/>
  <c r="O200" i="17"/>
  <c r="X200" i="17"/>
  <c r="K201" i="17"/>
  <c r="V201" i="17"/>
  <c r="J200" i="17"/>
  <c r="I200" i="17"/>
  <c r="N198" i="17"/>
  <c r="S198" i="17"/>
  <c r="I199" i="17"/>
  <c r="U199" i="17"/>
  <c r="L199" i="17"/>
  <c r="Q200" i="17"/>
  <c r="M201" i="17"/>
  <c r="G198" i="17"/>
  <c r="R198" i="17"/>
  <c r="W198" i="17"/>
  <c r="N199" i="17"/>
  <c r="S199" i="17"/>
  <c r="U200" i="17"/>
  <c r="Q201" i="17"/>
  <c r="J201" i="17"/>
  <c r="O198" i="17"/>
  <c r="X198" i="17"/>
  <c r="K199" i="17"/>
  <c r="V199" i="17"/>
  <c r="G200" i="17"/>
  <c r="R200" i="17"/>
  <c r="W200" i="17"/>
  <c r="N201" i="17"/>
  <c r="S201" i="17"/>
  <c r="Q198" i="17"/>
  <c r="M199" i="17"/>
  <c r="H200" i="17"/>
  <c r="X201" i="17"/>
  <c r="H198" i="17"/>
  <c r="T198" i="17"/>
  <c r="O199" i="17"/>
  <c r="X199" i="17"/>
  <c r="K200" i="17"/>
  <c r="V200" i="17"/>
  <c r="G201" i="17"/>
  <c r="R201" i="17"/>
  <c r="W201" i="17"/>
  <c r="L200" i="17"/>
  <c r="U90" i="17"/>
  <c r="G135" i="17"/>
  <c r="R135" i="17"/>
  <c r="W135" i="17"/>
  <c r="N136" i="17"/>
  <c r="S136" i="17"/>
  <c r="I137" i="17"/>
  <c r="U137" i="17"/>
  <c r="L137" i="17"/>
  <c r="Q138" i="17"/>
  <c r="J138" i="17"/>
  <c r="H135" i="17"/>
  <c r="T135" i="17"/>
  <c r="O136" i="17"/>
  <c r="X136" i="17"/>
  <c r="K137" i="17"/>
  <c r="V137" i="17"/>
  <c r="G138" i="17"/>
  <c r="R138" i="17"/>
  <c r="W138" i="17"/>
  <c r="I135" i="17"/>
  <c r="U135" i="17"/>
  <c r="L135" i="17"/>
  <c r="Q136" i="17"/>
  <c r="J136" i="17"/>
  <c r="M137" i="17"/>
  <c r="P137" i="17"/>
  <c r="H138" i="17"/>
  <c r="T138" i="17"/>
  <c r="C133" i="17"/>
  <c r="C12" i="17" s="1"/>
  <c r="K135" i="17"/>
  <c r="V135" i="17"/>
  <c r="G136" i="17"/>
  <c r="R136" i="17"/>
  <c r="W136" i="17"/>
  <c r="N137" i="17"/>
  <c r="S137" i="17"/>
  <c r="I138" i="17"/>
  <c r="U138" i="17"/>
  <c r="L138" i="17"/>
  <c r="M135" i="17"/>
  <c r="P135" i="17"/>
  <c r="H136" i="17"/>
  <c r="T136" i="17"/>
  <c r="O137" i="17"/>
  <c r="X137" i="17"/>
  <c r="K138" i="17"/>
  <c r="V138" i="17"/>
  <c r="N135" i="17"/>
  <c r="S135" i="17"/>
  <c r="I136" i="17"/>
  <c r="U136" i="17"/>
  <c r="L136" i="17"/>
  <c r="Q137" i="17"/>
  <c r="J137" i="17"/>
  <c r="M138" i="17"/>
  <c r="P138" i="17"/>
  <c r="Q135" i="17"/>
  <c r="J135" i="17"/>
  <c r="M136" i="17"/>
  <c r="P136" i="17"/>
  <c r="H137" i="17"/>
  <c r="T137" i="17"/>
  <c r="O138" i="17"/>
  <c r="X138" i="17"/>
  <c r="O135" i="17"/>
  <c r="S138" i="17"/>
  <c r="X135" i="17"/>
  <c r="K136" i="17"/>
  <c r="W137" i="17"/>
  <c r="V136" i="17"/>
  <c r="G137" i="17"/>
  <c r="R137" i="17"/>
  <c r="N138" i="17"/>
  <c r="C106" i="24"/>
  <c r="C9" i="24" s="1"/>
  <c r="C160" i="24"/>
  <c r="C15" i="24" s="1"/>
  <c r="C133" i="24"/>
  <c r="C12" i="24" s="1"/>
  <c r="L90" i="17"/>
  <c r="C7" i="17"/>
  <c r="C8" i="17"/>
  <c r="C14" i="17"/>
  <c r="P90" i="24"/>
  <c r="G90" i="24"/>
  <c r="T90" i="24"/>
  <c r="Q39" i="24"/>
  <c r="J90" i="24"/>
  <c r="S39" i="24"/>
  <c r="N39" i="24"/>
  <c r="O39" i="24"/>
  <c r="F37" i="24"/>
  <c r="R39" i="24"/>
  <c r="R90" i="24"/>
  <c r="F36" i="24"/>
  <c r="M39" i="24"/>
  <c r="K90" i="24"/>
  <c r="O90" i="24"/>
  <c r="N90" i="24"/>
  <c r="Q90" i="24"/>
  <c r="I90" i="24"/>
  <c r="S90" i="24"/>
  <c r="M90" i="17"/>
  <c r="P90" i="17"/>
  <c r="N90" i="17"/>
  <c r="S90" i="17"/>
  <c r="V90" i="17"/>
  <c r="O90" i="17"/>
  <c r="X90" i="17"/>
  <c r="Q90" i="17"/>
  <c r="J90" i="17"/>
  <c r="R90" i="17"/>
  <c r="W90" i="17"/>
  <c r="K90" i="17"/>
  <c r="H90" i="17"/>
  <c r="T90" i="17"/>
  <c r="F34" i="24"/>
  <c r="F27" i="24"/>
  <c r="F29" i="24"/>
  <c r="F35" i="24"/>
  <c r="F38" i="24"/>
  <c r="F30" i="24"/>
  <c r="F33" i="24"/>
  <c r="F28" i="24"/>
  <c r="F31" i="24"/>
  <c r="F32" i="24"/>
  <c r="F26" i="24"/>
  <c r="H39" i="24"/>
  <c r="K39" i="24"/>
  <c r="P39" i="24"/>
  <c r="F180" i="24" l="1"/>
  <c r="F144" i="24"/>
  <c r="F189" i="24"/>
  <c r="F126" i="24"/>
  <c r="F117" i="24"/>
  <c r="F110" i="24"/>
  <c r="F173" i="24"/>
  <c r="F101" i="24"/>
  <c r="F138" i="24"/>
  <c r="F192" i="24"/>
  <c r="F119" i="24"/>
  <c r="F155" i="24"/>
  <c r="F136" i="24"/>
  <c r="F108" i="24"/>
  <c r="F190" i="24"/>
  <c r="F99" i="24"/>
  <c r="F165" i="24"/>
  <c r="F129" i="24"/>
  <c r="F183" i="24"/>
  <c r="F172" i="24"/>
  <c r="F163" i="24"/>
  <c r="F153" i="24"/>
  <c r="F147" i="24"/>
  <c r="F137" i="24"/>
  <c r="F198" i="24"/>
  <c r="F127" i="24"/>
  <c r="F191" i="24"/>
  <c r="F181" i="24"/>
  <c r="F145" i="24"/>
  <c r="F111" i="24"/>
  <c r="F171" i="24"/>
  <c r="F102" i="24"/>
  <c r="F164" i="24"/>
  <c r="F135" i="24"/>
  <c r="F200" i="24"/>
  <c r="F201" i="24"/>
  <c r="F128" i="24"/>
  <c r="F109" i="24"/>
  <c r="F120" i="24"/>
  <c r="F182" i="24"/>
  <c r="F174" i="24"/>
  <c r="F100" i="24"/>
  <c r="F156" i="24"/>
  <c r="F146" i="24"/>
  <c r="F199" i="24"/>
  <c r="F118" i="24"/>
  <c r="F162" i="24"/>
  <c r="F154" i="24"/>
  <c r="F164" i="17"/>
  <c r="F190" i="17"/>
  <c r="F171" i="17"/>
  <c r="F163" i="17"/>
  <c r="F198" i="17"/>
  <c r="F174" i="17"/>
  <c r="F165" i="17"/>
  <c r="F145" i="17"/>
  <c r="F147" i="17"/>
  <c r="F162" i="17"/>
  <c r="F144" i="17"/>
  <c r="F155" i="17"/>
  <c r="F199" i="17"/>
  <c r="F182" i="17"/>
  <c r="F154" i="17"/>
  <c r="F156" i="17"/>
  <c r="F137" i="17"/>
  <c r="F201" i="17"/>
  <c r="F183" i="17"/>
  <c r="F146" i="17"/>
  <c r="F153" i="17"/>
  <c r="F136" i="17"/>
  <c r="F138" i="17"/>
  <c r="F200" i="17"/>
  <c r="F189" i="17"/>
  <c r="F180" i="17"/>
  <c r="F172" i="17"/>
  <c r="F135" i="17"/>
  <c r="F192" i="17"/>
  <c r="F191" i="17"/>
  <c r="F181" i="17"/>
  <c r="F173" i="17"/>
  <c r="F90" i="24"/>
  <c r="F90" i="17"/>
  <c r="F39" i="24"/>
  <c r="F38" i="17" l="1"/>
  <c r="F37" i="17"/>
  <c r="F36" i="17"/>
  <c r="F35" i="17"/>
  <c r="F34" i="17"/>
  <c r="F33" i="17"/>
  <c r="F32" i="17"/>
  <c r="F31" i="17"/>
  <c r="F30" i="17"/>
  <c r="F29" i="17"/>
  <c r="F28" i="17"/>
  <c r="X39" i="17"/>
  <c r="S39" i="17"/>
  <c r="V39" i="17"/>
  <c r="O39" i="17"/>
  <c r="N39" i="17"/>
  <c r="K39" i="17"/>
  <c r="F27" i="17"/>
  <c r="L39" i="17"/>
  <c r="W39" i="17"/>
  <c r="J39" i="17"/>
  <c r="P39" i="17"/>
  <c r="U39" i="17"/>
  <c r="T39" i="17"/>
  <c r="R39" i="17"/>
  <c r="Q39" i="17"/>
  <c r="M39" i="17"/>
  <c r="I39" i="17"/>
  <c r="H39" i="17"/>
  <c r="T93" i="24"/>
  <c r="G93" i="24"/>
  <c r="R93" i="24"/>
  <c r="O93" i="24"/>
  <c r="S93" i="24"/>
  <c r="Q93" i="24"/>
  <c r="P93" i="24"/>
  <c r="N93" i="24"/>
  <c r="M93" i="24"/>
  <c r="K93" i="24"/>
  <c r="J93" i="24"/>
  <c r="I93" i="24"/>
  <c r="T92" i="24"/>
  <c r="G92" i="24"/>
  <c r="R92" i="24"/>
  <c r="O92" i="24"/>
  <c r="S92" i="24"/>
  <c r="Q92" i="24"/>
  <c r="P92" i="24"/>
  <c r="N92" i="24"/>
  <c r="M92" i="24"/>
  <c r="K92" i="24"/>
  <c r="J92" i="24"/>
  <c r="I92" i="24"/>
  <c r="T91" i="24"/>
  <c r="G91" i="24"/>
  <c r="R91" i="24"/>
  <c r="O91" i="24"/>
  <c r="S91" i="24"/>
  <c r="P91" i="24"/>
  <c r="N91" i="24"/>
  <c r="M91" i="24"/>
  <c r="K91" i="24"/>
  <c r="J91" i="24"/>
  <c r="I91" i="24"/>
  <c r="L93" i="17"/>
  <c r="W93" i="17"/>
  <c r="J93" i="17"/>
  <c r="X93" i="17"/>
  <c r="S93" i="17"/>
  <c r="P93" i="17"/>
  <c r="V93" i="17"/>
  <c r="U93" i="17"/>
  <c r="T93" i="17"/>
  <c r="R93" i="17"/>
  <c r="Q93" i="17"/>
  <c r="O93" i="17"/>
  <c r="N93" i="17"/>
  <c r="M93" i="17"/>
  <c r="K93" i="17"/>
  <c r="I93" i="17"/>
  <c r="H93" i="17"/>
  <c r="L92" i="17"/>
  <c r="W92" i="17"/>
  <c r="J92" i="17"/>
  <c r="X92" i="17"/>
  <c r="S92" i="17"/>
  <c r="P92" i="17"/>
  <c r="V92" i="17"/>
  <c r="U92" i="17"/>
  <c r="T92" i="17"/>
  <c r="R92" i="17"/>
  <c r="Q92" i="17"/>
  <c r="O92" i="17"/>
  <c r="N92" i="17"/>
  <c r="M92" i="17"/>
  <c r="K92" i="17"/>
  <c r="I92" i="17"/>
  <c r="H92" i="17"/>
  <c r="L91" i="17"/>
  <c r="W91" i="17"/>
  <c r="J91" i="17"/>
  <c r="X91" i="17"/>
  <c r="S91" i="17"/>
  <c r="P91" i="17"/>
  <c r="V91" i="17"/>
  <c r="U91" i="17"/>
  <c r="T91" i="17"/>
  <c r="R91" i="17"/>
  <c r="Q91" i="17"/>
  <c r="O91" i="17"/>
  <c r="N91" i="17"/>
  <c r="M91" i="17"/>
  <c r="K91" i="17"/>
  <c r="I91" i="17"/>
  <c r="H91" i="17"/>
  <c r="F91" i="17" l="1"/>
  <c r="N54" i="24"/>
  <c r="F93" i="24"/>
  <c r="Q54" i="24"/>
  <c r="Q91" i="24"/>
  <c r="F91" i="24" s="1"/>
  <c r="F92" i="24"/>
  <c r="K51" i="25"/>
  <c r="K66" i="25" s="1"/>
  <c r="L56" i="25"/>
  <c r="L72" i="25" s="1"/>
  <c r="M51" i="25"/>
  <c r="M66" i="25" s="1"/>
  <c r="K56" i="25"/>
  <c r="K72" i="25" s="1"/>
  <c r="K57" i="25"/>
  <c r="K73" i="25" s="1"/>
  <c r="L51" i="25"/>
  <c r="L66" i="25" s="1"/>
  <c r="M55" i="25"/>
  <c r="M71" i="25" s="1"/>
  <c r="K52" i="25"/>
  <c r="K67" i="25" s="1"/>
  <c r="L55" i="25"/>
  <c r="L71" i="25" s="1"/>
  <c r="M50" i="25"/>
  <c r="M65" i="25" s="1"/>
  <c r="M57" i="25"/>
  <c r="M73" i="25" s="1"/>
  <c r="K55" i="25"/>
  <c r="K71" i="25" s="1"/>
  <c r="L50" i="25"/>
  <c r="L65" i="25" s="1"/>
  <c r="L57" i="25"/>
  <c r="L73" i="25" s="1"/>
  <c r="M52" i="25"/>
  <c r="M67" i="25" s="1"/>
  <c r="M56" i="25"/>
  <c r="M72" i="25" s="1"/>
  <c r="K65" i="25"/>
  <c r="L52" i="25"/>
  <c r="L67" i="25" s="1"/>
  <c r="F93" i="17"/>
  <c r="F92" i="17"/>
  <c r="O54" i="24"/>
  <c r="J54" i="24"/>
  <c r="T54" i="24"/>
  <c r="F39" i="17"/>
  <c r="F51" i="17"/>
  <c r="M54" i="17"/>
  <c r="P54" i="17"/>
  <c r="U54" i="17"/>
  <c r="L54" i="17"/>
  <c r="F46" i="24"/>
  <c r="N69" i="24"/>
  <c r="F58" i="24"/>
  <c r="P84" i="24"/>
  <c r="G84" i="24"/>
  <c r="F73" i="24"/>
  <c r="F81" i="24"/>
  <c r="P69" i="24"/>
  <c r="G69" i="24"/>
  <c r="F66" i="24"/>
  <c r="H84" i="24"/>
  <c r="Q84" i="24"/>
  <c r="M84" i="24"/>
  <c r="R84" i="24"/>
  <c r="F78" i="24"/>
  <c r="K54" i="24"/>
  <c r="P54" i="24"/>
  <c r="H69" i="24"/>
  <c r="I84" i="24"/>
  <c r="I69" i="24"/>
  <c r="S69" i="24"/>
  <c r="F61" i="24"/>
  <c r="F64" i="24"/>
  <c r="F67" i="24"/>
  <c r="J84" i="24"/>
  <c r="T84" i="24"/>
  <c r="F74" i="24"/>
  <c r="F76" i="24"/>
  <c r="S54" i="24"/>
  <c r="R69" i="24"/>
  <c r="F50" i="24"/>
  <c r="M54" i="24"/>
  <c r="R54" i="24"/>
  <c r="F47" i="24"/>
  <c r="J69" i="24"/>
  <c r="T69" i="24"/>
  <c r="F59" i="24"/>
  <c r="F62" i="24"/>
  <c r="K84" i="24"/>
  <c r="F72" i="24"/>
  <c r="F77" i="24"/>
  <c r="F80" i="24"/>
  <c r="F42" i="24"/>
  <c r="G54" i="24"/>
  <c r="M69" i="24"/>
  <c r="S84" i="24"/>
  <c r="K69" i="24"/>
  <c r="F57" i="24"/>
  <c r="F65" i="24"/>
  <c r="O84" i="24"/>
  <c r="F48" i="24"/>
  <c r="N84" i="24"/>
  <c r="O69" i="24"/>
  <c r="F60" i="24"/>
  <c r="F75" i="24"/>
  <c r="F83" i="24"/>
  <c r="F45" i="24"/>
  <c r="Q69" i="24"/>
  <c r="F79" i="24"/>
  <c r="F82" i="24"/>
  <c r="F63" i="24"/>
  <c r="F68" i="24"/>
  <c r="F71" i="24"/>
  <c r="F56" i="24"/>
  <c r="F41" i="24"/>
  <c r="F49" i="24"/>
  <c r="F43" i="24"/>
  <c r="F51" i="24"/>
  <c r="F44" i="24"/>
  <c r="F52" i="24"/>
  <c r="I54" i="24"/>
  <c r="F53" i="24"/>
  <c r="H54" i="24"/>
  <c r="F48" i="17"/>
  <c r="K54" i="17"/>
  <c r="H54" i="17"/>
  <c r="S54" i="17"/>
  <c r="F49" i="17"/>
  <c r="F52" i="17"/>
  <c r="I69" i="17"/>
  <c r="U69" i="17"/>
  <c r="L69" i="17"/>
  <c r="F63" i="17"/>
  <c r="H84" i="17"/>
  <c r="O84" i="17"/>
  <c r="X84" i="17"/>
  <c r="R84" i="17"/>
  <c r="W84" i="17"/>
  <c r="N84" i="17"/>
  <c r="S84" i="17"/>
  <c r="I84" i="17"/>
  <c r="U84" i="17"/>
  <c r="L84" i="17"/>
  <c r="F79" i="17"/>
  <c r="F82" i="17"/>
  <c r="N54" i="17"/>
  <c r="J54" i="17"/>
  <c r="Q54" i="17"/>
  <c r="T54" i="17"/>
  <c r="V54" i="17"/>
  <c r="T84" i="17"/>
  <c r="F65" i="17"/>
  <c r="F77" i="17"/>
  <c r="X69" i="17"/>
  <c r="Q84" i="17"/>
  <c r="J84" i="17"/>
  <c r="M84" i="17"/>
  <c r="P84" i="17"/>
  <c r="F73" i="17"/>
  <c r="F75" i="17"/>
  <c r="V84" i="17"/>
  <c r="F76" i="17"/>
  <c r="F78" i="17"/>
  <c r="F80" i="17"/>
  <c r="F81" i="17"/>
  <c r="F83" i="17"/>
  <c r="Q69" i="17"/>
  <c r="J69" i="17"/>
  <c r="M69" i="17"/>
  <c r="P69" i="17"/>
  <c r="F58" i="17"/>
  <c r="F60" i="17"/>
  <c r="F61" i="17"/>
  <c r="F62" i="17"/>
  <c r="F66" i="17"/>
  <c r="F68" i="17"/>
  <c r="I54" i="17"/>
  <c r="R54" i="17"/>
  <c r="W54" i="17"/>
  <c r="O54" i="17"/>
  <c r="X54" i="17"/>
  <c r="H69" i="17"/>
  <c r="T69" i="17"/>
  <c r="O69" i="17"/>
  <c r="K69" i="17"/>
  <c r="V69" i="17"/>
  <c r="R69" i="17"/>
  <c r="W69" i="17"/>
  <c r="N69" i="17"/>
  <c r="S69" i="17"/>
  <c r="F64" i="17"/>
  <c r="F67" i="17"/>
  <c r="F71" i="17"/>
  <c r="F72" i="17"/>
  <c r="K84" i="17"/>
  <c r="F74" i="17"/>
  <c r="F56" i="17"/>
  <c r="F59" i="17"/>
  <c r="F57" i="17"/>
  <c r="F42" i="17"/>
  <c r="F50" i="17"/>
  <c r="F43" i="17"/>
  <c r="F44" i="17"/>
  <c r="F45" i="17"/>
  <c r="F53" i="17"/>
  <c r="F46" i="17"/>
  <c r="F47" i="17"/>
  <c r="F41" i="17"/>
  <c r="K100" i="25" l="1"/>
  <c r="K112" i="25" s="1"/>
  <c r="M100" i="25"/>
  <c r="M112" i="25" s="1"/>
  <c r="M125" i="25" s="1"/>
  <c r="M138" i="25" s="1"/>
  <c r="L74" i="25"/>
  <c r="K74" i="25"/>
  <c r="L99" i="25"/>
  <c r="L111" i="25" s="1"/>
  <c r="L119" i="25" s="1"/>
  <c r="L132" i="25" s="1"/>
  <c r="K68" i="25"/>
  <c r="K98" i="25"/>
  <c r="K110" i="25" s="1"/>
  <c r="K118" i="25" s="1"/>
  <c r="M124" i="25"/>
  <c r="M137" i="25" s="1"/>
  <c r="M74" i="25"/>
  <c r="L68" i="25"/>
  <c r="L98" i="25"/>
  <c r="L110" i="25" s="1"/>
  <c r="L118" i="25" s="1"/>
  <c r="L131" i="25" s="1"/>
  <c r="M68" i="25"/>
  <c r="M98" i="25"/>
  <c r="K99" i="25"/>
  <c r="K111" i="25" s="1"/>
  <c r="K119" i="25" s="1"/>
  <c r="L100" i="25"/>
  <c r="L112" i="25" s="1"/>
  <c r="M99" i="25"/>
  <c r="M111" i="25" s="1"/>
  <c r="F69" i="24"/>
  <c r="F84" i="24"/>
  <c r="F54" i="24"/>
  <c r="F69" i="17"/>
  <c r="F84" i="17"/>
  <c r="F54" i="17"/>
  <c r="M110" i="25" l="1"/>
  <c r="M118" i="25" s="1"/>
  <c r="M131" i="25" s="1"/>
  <c r="K131" i="25"/>
  <c r="K125" i="25"/>
  <c r="K138" i="25" s="1"/>
  <c r="K124" i="25"/>
  <c r="K137" i="25" s="1"/>
  <c r="L123" i="25"/>
  <c r="L136" i="25" s="1"/>
  <c r="L121" i="25"/>
  <c r="L134" i="25" s="1"/>
  <c r="L122" i="25"/>
  <c r="L135" i="25" s="1"/>
  <c r="L120" i="25"/>
  <c r="L133" i="25" s="1"/>
  <c r="M120" i="25"/>
  <c r="M133" i="25" s="1"/>
  <c r="M121" i="25"/>
  <c r="M134" i="25" s="1"/>
  <c r="M123" i="25"/>
  <c r="M136" i="25" s="1"/>
  <c r="M119" i="25"/>
  <c r="M132" i="25" s="1"/>
  <c r="M122" i="25"/>
  <c r="M135" i="25" s="1"/>
  <c r="L124" i="25"/>
  <c r="L137" i="25" s="1"/>
  <c r="L125" i="25"/>
  <c r="L138" i="25" s="1"/>
  <c r="K123" i="25"/>
  <c r="K136" i="25" s="1"/>
  <c r="K120" i="25"/>
  <c r="K133" i="25" s="1"/>
  <c r="K121" i="25"/>
  <c r="K134" i="25" s="1"/>
  <c r="K132" i="25"/>
  <c r="K122" i="25"/>
  <c r="K135" i="25" s="1"/>
</calcChain>
</file>

<file path=xl/sharedStrings.xml><?xml version="1.0" encoding="utf-8"?>
<sst xmlns="http://schemas.openxmlformats.org/spreadsheetml/2006/main" count="685" uniqueCount="124">
  <si>
    <t>Key outputs</t>
  </si>
  <si>
    <t>Blue cells indicate inputs</t>
  </si>
  <si>
    <t>Light blue cells indicate inputs with default values</t>
  </si>
  <si>
    <r>
      <t xml:space="preserve">default values are shown in </t>
    </r>
    <r>
      <rPr>
        <i/>
        <sz val="9"/>
        <rFont val="Arial"/>
        <family val="2"/>
      </rPr>
      <t>italics</t>
    </r>
    <r>
      <rPr>
        <sz val="9"/>
        <rFont val="Arial"/>
        <family val="2"/>
      </rPr>
      <t xml:space="preserve"> next to or below the light blue cells</t>
    </r>
  </si>
  <si>
    <t>Blue font indicates IPART hard-coded values used that should not be changed</t>
  </si>
  <si>
    <t>Pink font indicates calculation checks</t>
  </si>
  <si>
    <t>Red indicates assumptions made in calculations</t>
  </si>
  <si>
    <t>%</t>
  </si>
  <si>
    <t>Inputs</t>
  </si>
  <si>
    <t>Activity</t>
  </si>
  <si>
    <t>Total</t>
  </si>
  <si>
    <t>Customer Support</t>
  </si>
  <si>
    <t>Customer Billing</t>
  </si>
  <si>
    <t>Metering and Compliance</t>
  </si>
  <si>
    <t>Water Delivery and Other Operations</t>
  </si>
  <si>
    <t>Flood Operations</t>
  </si>
  <si>
    <t>Hydrometric Monitoring</t>
  </si>
  <si>
    <t>Water Quality Monitoring</t>
  </si>
  <si>
    <t>Corrective Maintenance</t>
  </si>
  <si>
    <t>Routine Maintenance</t>
  </si>
  <si>
    <t>Asset management planning</t>
  </si>
  <si>
    <t>Dam Safety Compliance</t>
  </si>
  <si>
    <t>Environmental Planning and Protection</t>
  </si>
  <si>
    <t>Direct Insurances</t>
  </si>
  <si>
    <t>Renewal and Replacement</t>
  </si>
  <si>
    <t>New Metering and Compliance</t>
  </si>
  <si>
    <t>Environmental Delivery</t>
  </si>
  <si>
    <t>Catchment Planning and Operations</t>
  </si>
  <si>
    <t>Border</t>
  </si>
  <si>
    <t>$'000</t>
  </si>
  <si>
    <t>Gwydir</t>
  </si>
  <si>
    <t>Namoi</t>
  </si>
  <si>
    <t>Peel</t>
  </si>
  <si>
    <t>Lachlan</t>
  </si>
  <si>
    <t>Macquarie</t>
  </si>
  <si>
    <t>Murray</t>
  </si>
  <si>
    <t>Murrumbidgee</t>
  </si>
  <si>
    <t>Lowbidgee</t>
  </si>
  <si>
    <t>North Coast</t>
  </si>
  <si>
    <t>Hunter</t>
  </si>
  <si>
    <t>South Coast</t>
  </si>
  <si>
    <t>Fish River</t>
  </si>
  <si>
    <t>Total opex</t>
  </si>
  <si>
    <t>Water Delivery &amp; Other Operations</t>
  </si>
  <si>
    <t>Asset Management Planning</t>
  </si>
  <si>
    <t>Environmental Planning &amp; Protection</t>
  </si>
  <si>
    <t>Renewals and Replacement</t>
  </si>
  <si>
    <t>Dam safety compliance on pre 1997 capital projects</t>
  </si>
  <si>
    <t>Metering and compliance</t>
  </si>
  <si>
    <t>Corporate Systems</t>
  </si>
  <si>
    <t>Total capex</t>
  </si>
  <si>
    <t>CAPITAL EXPENDITURE - User Share</t>
  </si>
  <si>
    <t>OPERATING EXPENDITURE - User Share</t>
  </si>
  <si>
    <t>2026-27</t>
  </si>
  <si>
    <t>2027-28</t>
  </si>
  <si>
    <t>2028-29</t>
  </si>
  <si>
    <t>Average annual operating expenditure allowance from the 2021 price review (2021-22 to 2024-25)</t>
  </si>
  <si>
    <t>Average annual capital expenditure allowance from the 2021 price review (2021-22 to 2024-25) - (excluding drought expenditure)</t>
  </si>
  <si>
    <t>2021 review average</t>
  </si>
  <si>
    <t>Jemalong Irrigation Limited</t>
  </si>
  <si>
    <t>Murray Irrigation Limited</t>
  </si>
  <si>
    <t>Western Murray Irrigation Limited</t>
  </si>
  <si>
    <t>West Corurgan</t>
  </si>
  <si>
    <t>Moira Irrigation Scheme</t>
  </si>
  <si>
    <t>Eagle Creek Scheme</t>
  </si>
  <si>
    <t>Murrumbidgee Irrigation Limited</t>
  </si>
  <si>
    <t>Coleambally Irrigation Limited</t>
  </si>
  <si>
    <t>ICD Rebates ($, $2026-27)</t>
  </si>
  <si>
    <t>ICD Rebates ($, $2025-26)</t>
  </si>
  <si>
    <t>Rebate per entitlement for irrigation corporations = average cost per irrigation corporation entitlement if all ICD customers were direct WaterNSW customers</t>
  </si>
  <si>
    <t>$</t>
  </si>
  <si>
    <t>Total valley actual metering and compliance costs</t>
  </si>
  <si>
    <t>Total valley actual customer billing costs</t>
  </si>
  <si>
    <t>Additional telemetry installation costs (if all ICD customers were direct WaterNSW customers)</t>
  </si>
  <si>
    <t>2024-25</t>
  </si>
  <si>
    <t>ML</t>
  </si>
  <si>
    <t>Entitlements and Customer inputs</t>
  </si>
  <si>
    <t>ICD customer numbers</t>
  </si>
  <si>
    <t>Phone bill</t>
  </si>
  <si>
    <t>Additional SCADA and licensing</t>
  </si>
  <si>
    <t>No</t>
  </si>
  <si>
    <t>Customer Billings</t>
  </si>
  <si>
    <t>Telemetry installation cost $ per connection</t>
  </si>
  <si>
    <t>WACC</t>
  </si>
  <si>
    <t xml:space="preserve">Total cost </t>
  </si>
  <si>
    <t>Incremental cost per meter if all ICD customers were direct WaterNSW customers</t>
  </si>
  <si>
    <t>Number of government owned meters</t>
  </si>
  <si>
    <t>Average actual billing and metering cost per entitlement</t>
  </si>
  <si>
    <t>Results</t>
  </si>
  <si>
    <t>CPI used in Draft Determination to move rebates from $2025-26 to $2026-27</t>
  </si>
  <si>
    <t>NOTE: all cost inputs have been provide by WaterNSW, and adjusted by IPART to reflect efficient costs were appropriate.</t>
  </si>
  <si>
    <t>NOTE: all entitlement and customer number data were provided by WaterNSW.</t>
  </si>
  <si>
    <t>Whole of Valley Entitlements (including high and general security)</t>
  </si>
  <si>
    <t>ICD specific entitlements (including high and general security)</t>
  </si>
  <si>
    <t>Cost and other Inputs ($2025-26)</t>
  </si>
  <si>
    <r>
      <t xml:space="preserve">Calculations </t>
    </r>
    <r>
      <rPr>
        <b/>
        <sz val="9"/>
        <color theme="3" tint="0.249977111117893"/>
        <rFont val="Arial"/>
        <family val="2"/>
      </rPr>
      <t>(all values are in $2025-26)</t>
    </r>
  </si>
  <si>
    <t>CPI used to move from $2020-21 to $2025-26</t>
  </si>
  <si>
    <t>ICD Rebate Analysis</t>
  </si>
  <si>
    <t>Addendum to 2026 WaterNSW Rural Valleys Review Draft Report</t>
  </si>
  <si>
    <t>This file contains three worksheets:</t>
  </si>
  <si>
    <t>ICD rebates - this worksheet sets out the inputs, calculations and results for the ICD rebates. It includes 2024-25 analysis for comparison.</t>
  </si>
  <si>
    <t>COLOUR CODE</t>
  </si>
  <si>
    <t>Red double line identifies unexpected formula changes across a row or down a column</t>
  </si>
  <si>
    <t>$/ML</t>
  </si>
  <si>
    <r>
      <t xml:space="preserve">Operating expenditure - this worksheet presents the </t>
    </r>
    <r>
      <rPr>
        <b/>
        <sz val="9"/>
        <rFont val="Arial"/>
        <family val="2"/>
      </rPr>
      <t>User Share</t>
    </r>
    <r>
      <rPr>
        <sz val="9"/>
        <rFont val="Arial"/>
        <family val="2"/>
      </rPr>
      <t xml:space="preserve"> of operating expenditure by year, by cost category, by valley. The information in Table 1 presents all valleys together, while operating expenditure for each valley are separately presented below that. The worksheet also presents average operating expenditure over the 2021 Review for comparison.</t>
    </r>
  </si>
  <si>
    <r>
      <t xml:space="preserve">Capital expenditure - this worksheet presents the </t>
    </r>
    <r>
      <rPr>
        <b/>
        <sz val="9"/>
        <rFont val="Arial"/>
        <family val="2"/>
      </rPr>
      <t>User Share</t>
    </r>
    <r>
      <rPr>
        <sz val="9"/>
        <rFont val="Arial"/>
        <family val="2"/>
      </rPr>
      <t xml:space="preserve"> of capital expenditure by year, by cost category, by valley. The information in Table 1 presents all valleys together, while capital expenditure for each valley are separately presented below that. The worksheet also presents average capital expenditure over the 2021 Review for comparison.</t>
    </r>
  </si>
  <si>
    <t>List of Tables</t>
  </si>
  <si>
    <t>Row No</t>
  </si>
  <si>
    <t>Table 1: Draft report user share of operating expenditure by cost category and valley ($'000, $2025-26)</t>
  </si>
  <si>
    <t>You may direct enquires to water@ipart.nsw.gov.au.</t>
  </si>
  <si>
    <t>Table 1: Draft report user share of capital expenditure by cost category by valley ($'000, $2025-26)</t>
  </si>
  <si>
    <t>Telemetry installation</t>
  </si>
  <si>
    <t>Additional data transfer costs (if all ICD customers were direct WaterNSW customers)</t>
  </si>
  <si>
    <t>Average additional telemetry installation and data transfer costs per irrigation corporation entitlement (if all ICD customers were direct WaterNSW customers)</t>
  </si>
  <si>
    <t>Annual cost per connection</t>
  </si>
  <si>
    <t>Direct Insurance</t>
  </si>
  <si>
    <t xml:space="preserve">This spreadsheet provides the operating and capital expenditures for each of WaterNSW 18 activities and for each of its 13 valleys that are used to calculate the draft maxmimun prices.  </t>
  </si>
  <si>
    <t>A description of WaterNSW’s activities is set out in Appendix F of IPART's draft report .</t>
  </si>
  <si>
    <t xml:space="preserve">This spreadsheet also provides the operating and capital expenditures used to calculate the Irrigation Corporation and Districits rebates </t>
  </si>
  <si>
    <t>This spreadsheet uses standard IPART colour coding:</t>
  </si>
  <si>
    <t>WHAT IS THE PURPOSE OF SPREADSHEET?</t>
  </si>
  <si>
    <t>SPREADSHEET STRUCTURE</t>
  </si>
  <si>
    <t>COST CATEGORIES</t>
  </si>
  <si>
    <t>The following information maps the list of activities in Appendix F of the Draft Report to the activities in the 'Operating expenditure' and 'Capital expenditure' worksheets.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</si>
</sst>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%"/>
    <numFmt numFmtId="166" formatCode="#,##0.0"/>
    <numFmt numFmtId="167" formatCode="_(* #,##0.0_);_(* \(#,##0.0\);_(* &quot;-&quot;??_);_(@_)"/>
    <numFmt numFmtId="168" formatCode="#,##0.0_ ;\-#,##0.0\ "/>
    <numFmt numFmtId="169" formatCode="_-\ #,##0.00_-;\-\ #,##0.00_-;_-\ &quot;-&quot;_-;_-@_-"/>
  </numFmts>
  <fonts count="25" x14ac:knownFonts="1">
    <font>
      <sz val="9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name val="Arial"/>
      <family val="2"/>
    </font>
    <font>
      <sz val="9"/>
      <color indexed="14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b/>
      <sz val="9"/>
      <color indexed="9"/>
      <name val="Arial"/>
      <family val="2"/>
    </font>
    <font>
      <b/>
      <sz val="9"/>
      <color indexed="5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10"/>
      <color indexed="9"/>
      <name val="Arial"/>
      <family val="2"/>
    </font>
    <font>
      <b/>
      <sz val="12"/>
      <color indexed="12"/>
      <name val="Arial"/>
      <family val="2"/>
    </font>
    <font>
      <i/>
      <sz val="9"/>
      <name val="Arial"/>
      <family val="2"/>
    </font>
    <font>
      <sz val="8"/>
      <color indexed="14"/>
      <name val="Arial"/>
      <family val="2"/>
    </font>
    <font>
      <b/>
      <sz val="9"/>
      <color indexed="12"/>
      <name val="Arial"/>
      <family val="2"/>
    </font>
    <font>
      <b/>
      <sz val="12"/>
      <color theme="3" tint="0.249977111117893"/>
      <name val="Arial"/>
      <family val="2"/>
    </font>
    <font>
      <sz val="8"/>
      <name val="Arial"/>
      <family val="2"/>
    </font>
    <font>
      <sz val="9"/>
      <color theme="0" tint="-0.14999847407452621"/>
      <name val="Arial"/>
      <family val="2"/>
    </font>
    <font>
      <b/>
      <sz val="9"/>
      <color theme="3" tint="0.249977111117893"/>
      <name val="Arial"/>
      <family val="2"/>
    </font>
    <font>
      <b/>
      <sz val="16"/>
      <color theme="3" tint="0.249977111117893"/>
      <name val="Arial"/>
      <family val="2"/>
    </font>
    <font>
      <b/>
      <sz val="9"/>
      <color indexed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5"/>
      </patternFill>
    </fill>
    <fill>
      <patternFill patternType="solid">
        <fgColor indexed="9"/>
        <bgColor indexed="15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rgb="FF00FFFF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rgb="FF00FFFF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1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  <bgColor rgb="FF00FFFF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6" applyNumberFormat="0" applyFont="0" applyFill="0" applyAlignment="0" applyProtection="0"/>
    <xf numFmtId="164" fontId="17" fillId="0" borderId="0" applyNumberFormat="0" applyFill="0" applyBorder="0" applyAlignment="0">
      <alignment horizontal="left"/>
    </xf>
    <xf numFmtId="0" fontId="5" fillId="0" borderId="0" applyNumberFormat="0" applyFill="0" applyBorder="0" applyAlignment="0"/>
    <xf numFmtId="4" fontId="3" fillId="3" borderId="0" applyBorder="0" applyAlignment="0">
      <alignment horizontal="right"/>
      <protection locked="0"/>
    </xf>
    <xf numFmtId="165" fontId="3" fillId="3" borderId="0" applyBorder="0" applyAlignment="0">
      <alignment horizontal="right"/>
      <protection locked="0"/>
    </xf>
    <xf numFmtId="3" fontId="6" fillId="0" borderId="0" applyNumberFormat="0" applyFill="0" applyBorder="0" applyAlignment="0" applyProtection="0">
      <protection locked="0"/>
    </xf>
    <xf numFmtId="41" fontId="7" fillId="4" borderId="0" applyNumberFormat="0" applyBorder="0" applyAlignment="0"/>
    <xf numFmtId="0" fontId="8" fillId="0" borderId="0" applyNumberFormat="0" applyFill="0" applyBorder="0" applyAlignment="0" applyProtection="0"/>
    <xf numFmtId="166" fontId="3" fillId="8" borderId="0" applyBorder="0" applyAlignment="0">
      <alignment horizontal="right"/>
      <protection locked="0"/>
    </xf>
    <xf numFmtId="165" fontId="3" fillId="2" borderId="0" applyBorder="0" applyAlignment="0">
      <protection locked="0"/>
    </xf>
    <xf numFmtId="0" fontId="13" fillId="6" borderId="0" applyNumberFormat="0" applyBorder="0" applyAlignment="0" applyProtection="0"/>
    <xf numFmtId="165" fontId="3" fillId="8" borderId="0" applyBorder="0" applyAlignment="0">
      <alignment horizontal="left"/>
      <protection locked="0"/>
    </xf>
    <xf numFmtId="166" fontId="3" fillId="2" borderId="1" applyBorder="0" applyAlignment="0">
      <alignment horizontal="right"/>
      <protection locked="0"/>
    </xf>
    <xf numFmtId="9" fontId="14" fillId="0" borderId="0" applyFont="0" applyBorder="0" applyAlignment="0" applyProtection="0"/>
    <xf numFmtId="9" fontId="14" fillId="0" borderId="0" applyFont="0" applyBorder="0" applyAlignment="0" applyProtection="0"/>
    <xf numFmtId="0" fontId="2" fillId="0" borderId="0"/>
    <xf numFmtId="0" fontId="1" fillId="0" borderId="0"/>
    <xf numFmtId="0" fontId="3" fillId="9" borderId="0">
      <alignment vertical="top"/>
    </xf>
    <xf numFmtId="168" fontId="3" fillId="17" borderId="0" applyBorder="0" applyAlignment="0">
      <alignment horizontal="right"/>
    </xf>
    <xf numFmtId="3" fontId="3" fillId="15" borderId="17" applyNumberFormat="0" applyBorder="0" applyAlignment="0"/>
  </cellStyleXfs>
  <cellXfs count="147">
    <xf numFmtId="0" fontId="0" fillId="0" borderId="0" xfId="0"/>
    <xf numFmtId="166" fontId="3" fillId="2" borderId="0" xfId="15" applyBorder="1" applyAlignment="1">
      <protection locked="0"/>
    </xf>
    <xf numFmtId="0" fontId="0" fillId="0" borderId="0" xfId="0" applyAlignment="1">
      <alignment horizontal="left"/>
    </xf>
    <xf numFmtId="0" fontId="11" fillId="0" borderId="0" xfId="0" applyFont="1"/>
    <xf numFmtId="0" fontId="10" fillId="0" borderId="0" xfId="0" applyFont="1"/>
    <xf numFmtId="0" fontId="15" fillId="0" borderId="0" xfId="8" applyNumberFormat="1" applyFont="1" applyFill="1" applyAlignment="1" applyProtection="1"/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2" fillId="7" borderId="0" xfId="0" applyFont="1" applyFill="1"/>
    <xf numFmtId="0" fontId="0" fillId="7" borderId="0" xfId="0" applyFill="1"/>
    <xf numFmtId="0" fontId="0" fillId="0" borderId="0" xfId="0" applyAlignment="1">
      <alignment horizontal="center" vertical="top"/>
    </xf>
    <xf numFmtId="0" fontId="9" fillId="7" borderId="0" xfId="0" applyFont="1" applyFill="1"/>
    <xf numFmtId="4" fontId="0" fillId="3" borderId="0" xfId="6" applyFont="1" applyBorder="1" applyAlignment="1">
      <alignment horizontal="left"/>
      <protection locked="0"/>
    </xf>
    <xf numFmtId="166" fontId="0" fillId="2" borderId="0" xfId="15" applyFont="1" applyBorder="1" applyAlignment="1">
      <protection locked="0"/>
    </xf>
    <xf numFmtId="167" fontId="6" fillId="0" borderId="0" xfId="1" applyNumberFormat="1" applyFont="1" applyFill="1" applyBorder="1" applyAlignment="1">
      <alignment horizontal="left"/>
    </xf>
    <xf numFmtId="167" fontId="7" fillId="4" borderId="0" xfId="9" applyNumberFormat="1" applyBorder="1" applyAlignment="1">
      <alignment horizontal="left"/>
    </xf>
    <xf numFmtId="167" fontId="4" fillId="0" borderId="0" xfId="4" applyNumberFormat="1" applyFont="1" applyFill="1" applyBorder="1" applyAlignment="1">
      <alignment horizontal="left"/>
    </xf>
    <xf numFmtId="167" fontId="4" fillId="0" borderId="0" xfId="1" applyNumberFormat="1" applyFont="1" applyFill="1" applyBorder="1" applyAlignment="1">
      <alignment horizontal="left"/>
    </xf>
    <xf numFmtId="167" fontId="5" fillId="0" borderId="0" xfId="5" applyNumberFormat="1" applyFill="1" applyBorder="1" applyAlignment="1">
      <alignment horizontal="left"/>
    </xf>
    <xf numFmtId="167" fontId="5" fillId="0" borderId="0" xfId="1" applyNumberFormat="1" applyFont="1" applyFill="1" applyBorder="1" applyAlignment="1">
      <alignment horizontal="left"/>
    </xf>
    <xf numFmtId="167" fontId="0" fillId="0" borderId="5" xfId="1" applyNumberFormat="1" applyFont="1" applyBorder="1" applyAlignment="1">
      <alignment horizontal="left"/>
    </xf>
    <xf numFmtId="167" fontId="0" fillId="0" borderId="0" xfId="1" applyNumberFormat="1" applyFont="1" applyBorder="1" applyAlignment="1">
      <alignment horizontal="left"/>
    </xf>
    <xf numFmtId="167" fontId="6" fillId="0" borderId="0" xfId="8" applyNumberFormat="1" applyFill="1" applyBorder="1" applyAlignment="1" applyProtection="1">
      <alignment horizontal="left"/>
    </xf>
    <xf numFmtId="0" fontId="0" fillId="0" borderId="6" xfId="3" applyFont="1" applyFill="1" applyAlignment="1"/>
    <xf numFmtId="3" fontId="11" fillId="0" borderId="7" xfId="0" applyNumberFormat="1" applyFont="1" applyBorder="1"/>
    <xf numFmtId="3" fontId="0" fillId="0" borderId="0" xfId="0" applyNumberFormat="1"/>
    <xf numFmtId="3" fontId="0" fillId="0" borderId="10" xfId="0" applyNumberFormat="1" applyBorder="1"/>
    <xf numFmtId="3" fontId="10" fillId="10" borderId="0" xfId="0" applyNumberFormat="1" applyFont="1" applyFill="1" applyAlignment="1">
      <alignment vertical="top"/>
    </xf>
    <xf numFmtId="3" fontId="11" fillId="0" borderId="0" xfId="0" applyNumberFormat="1" applyFont="1"/>
    <xf numFmtId="3" fontId="0" fillId="0" borderId="11" xfId="0" applyNumberFormat="1" applyBorder="1"/>
    <xf numFmtId="3" fontId="19" fillId="15" borderId="7" xfId="0" applyNumberFormat="1" applyFont="1" applyFill="1" applyBorder="1"/>
    <xf numFmtId="3" fontId="11" fillId="18" borderId="2" xfId="0" applyNumberFormat="1" applyFont="1" applyFill="1" applyBorder="1"/>
    <xf numFmtId="3" fontId="11" fillId="18" borderId="14" xfId="0" applyNumberFormat="1" applyFont="1" applyFill="1" applyBorder="1"/>
    <xf numFmtId="3" fontId="0" fillId="15" borderId="13" xfId="0" applyNumberFormat="1" applyFill="1" applyBorder="1"/>
    <xf numFmtId="3" fontId="11" fillId="18" borderId="10" xfId="0" applyNumberFormat="1" applyFont="1" applyFill="1" applyBorder="1"/>
    <xf numFmtId="3" fontId="0" fillId="15" borderId="9" xfId="0" applyNumberFormat="1" applyFill="1" applyBorder="1"/>
    <xf numFmtId="3" fontId="21" fillId="0" borderId="0" xfId="0" applyNumberFormat="1" applyFont="1"/>
    <xf numFmtId="3" fontId="0" fillId="0" borderId="14" xfId="0" applyNumberFormat="1" applyBorder="1"/>
    <xf numFmtId="3" fontId="0" fillId="10" borderId="0" xfId="0" applyNumberFormat="1" applyFill="1" applyAlignment="1">
      <alignment horizontal="center"/>
    </xf>
    <xf numFmtId="3" fontId="0" fillId="10" borderId="0" xfId="0" applyNumberFormat="1" applyFill="1"/>
    <xf numFmtId="3" fontId="0" fillId="10" borderId="0" xfId="1" applyNumberFormat="1" applyFont="1" applyFill="1" applyBorder="1"/>
    <xf numFmtId="3" fontId="0" fillId="11" borderId="0" xfId="1" applyNumberFormat="1" applyFont="1" applyFill="1" applyBorder="1"/>
    <xf numFmtId="3" fontId="6" fillId="11" borderId="0" xfId="1" applyNumberFormat="1" applyFont="1" applyFill="1" applyBorder="1"/>
    <xf numFmtId="3" fontId="0" fillId="0" borderId="0" xfId="0" applyNumberFormat="1" applyAlignment="1">
      <alignment horizontal="center"/>
    </xf>
    <xf numFmtId="3" fontId="0" fillId="0" borderId="0" xfId="1" applyNumberFormat="1" applyFont="1" applyFill="1" applyBorder="1"/>
    <xf numFmtId="3" fontId="0" fillId="12" borderId="0" xfId="1" applyNumberFormat="1" applyFont="1" applyFill="1" applyBorder="1"/>
    <xf numFmtId="3" fontId="6" fillId="12" borderId="0" xfId="1" applyNumberFormat="1" applyFont="1" applyFill="1" applyBorder="1"/>
    <xf numFmtId="3" fontId="0" fillId="13" borderId="0" xfId="0" applyNumberFormat="1" applyFill="1" applyAlignment="1">
      <alignment vertical="top"/>
    </xf>
    <xf numFmtId="3" fontId="0" fillId="5" borderId="0" xfId="0" applyNumberFormat="1" applyFill="1"/>
    <xf numFmtId="3" fontId="11" fillId="14" borderId="0" xfId="0" applyNumberFormat="1" applyFont="1" applyFill="1"/>
    <xf numFmtId="3" fontId="18" fillId="0" borderId="0" xfId="0" applyNumberFormat="1" applyFont="1"/>
    <xf numFmtId="3" fontId="0" fillId="0" borderId="12" xfId="0" applyNumberFormat="1" applyBorder="1" applyAlignment="1">
      <alignment horizontal="center"/>
    </xf>
    <xf numFmtId="3" fontId="0" fillId="0" borderId="16" xfId="0" applyNumberFormat="1" applyBorder="1"/>
    <xf numFmtId="3" fontId="11" fillId="5" borderId="15" xfId="0" applyNumberFormat="1" applyFont="1" applyFill="1" applyBorder="1" applyAlignment="1">
      <alignment horizontal="center" wrapText="1"/>
    </xf>
    <xf numFmtId="3" fontId="0" fillId="14" borderId="15" xfId="0" applyNumberFormat="1" applyFill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3" fontId="11" fillId="16" borderId="10" xfId="0" applyNumberFormat="1" applyFont="1" applyFill="1" applyBorder="1"/>
    <xf numFmtId="3" fontId="3" fillId="0" borderId="7" xfId="21" applyNumberFormat="1" applyFill="1" applyBorder="1" applyAlignment="1">
      <alignment horizontal="left"/>
    </xf>
    <xf numFmtId="3" fontId="0" fillId="0" borderId="7" xfId="0" applyNumberFormat="1" applyBorder="1"/>
    <xf numFmtId="0" fontId="11" fillId="0" borderId="0" xfId="0" applyFont="1" applyAlignment="1">
      <alignment horizontal="right"/>
    </xf>
    <xf numFmtId="4" fontId="3" fillId="3" borderId="0" xfId="6" applyAlignment="1">
      <protection locked="0"/>
    </xf>
    <xf numFmtId="3" fontId="3" fillId="3" borderId="0" xfId="6" applyNumberFormat="1" applyAlignment="1">
      <protection locked="0"/>
    </xf>
    <xf numFmtId="0" fontId="23" fillId="0" borderId="0" xfId="0" applyFont="1"/>
    <xf numFmtId="165" fontId="3" fillId="3" borderId="0" xfId="7" applyAlignment="1">
      <protection locked="0"/>
    </xf>
    <xf numFmtId="169" fontId="0" fillId="0" borderId="0" xfId="0" applyNumberFormat="1"/>
    <xf numFmtId="0" fontId="11" fillId="19" borderId="0" xfId="0" applyFont="1" applyFill="1" applyAlignment="1">
      <alignment horizontal="right"/>
    </xf>
    <xf numFmtId="0" fontId="0" fillId="19" borderId="0" xfId="0" applyFill="1"/>
    <xf numFmtId="3" fontId="3" fillId="19" borderId="0" xfId="6" applyNumberFormat="1" applyFill="1" applyAlignment="1">
      <protection locked="0"/>
    </xf>
    <xf numFmtId="4" fontId="3" fillId="19" borderId="0" xfId="6" applyFill="1" applyAlignment="1">
      <protection locked="0"/>
    </xf>
    <xf numFmtId="165" fontId="3" fillId="19" borderId="0" xfId="7" applyFill="1" applyAlignment="1">
      <protection locked="0"/>
    </xf>
    <xf numFmtId="3" fontId="0" fillId="19" borderId="0" xfId="0" applyNumberFormat="1" applyFill="1"/>
    <xf numFmtId="3" fontId="11" fillId="19" borderId="0" xfId="0" applyNumberFormat="1" applyFont="1" applyFill="1"/>
    <xf numFmtId="4" fontId="0" fillId="19" borderId="0" xfId="0" applyNumberFormat="1" applyFill="1"/>
    <xf numFmtId="2" fontId="0" fillId="19" borderId="0" xfId="0" applyNumberFormat="1" applyFill="1"/>
    <xf numFmtId="3" fontId="0" fillId="19" borderId="18" xfId="0" applyNumberFormat="1" applyFill="1" applyBorder="1"/>
    <xf numFmtId="3" fontId="0" fillId="19" borderId="20" xfId="0" applyNumberFormat="1" applyFill="1" applyBorder="1"/>
    <xf numFmtId="3" fontId="0" fillId="19" borderId="19" xfId="0" applyNumberFormat="1" applyFill="1" applyBorder="1"/>
    <xf numFmtId="3" fontId="0" fillId="19" borderId="0" xfId="0" applyNumberFormat="1" applyFill="1" applyAlignment="1">
      <alignment horizontal="right"/>
    </xf>
    <xf numFmtId="4" fontId="0" fillId="19" borderId="0" xfId="0" applyNumberFormat="1" applyFill="1" applyAlignment="1">
      <alignment horizontal="right"/>
    </xf>
    <xf numFmtId="2" fontId="0" fillId="19" borderId="18" xfId="0" applyNumberFormat="1" applyFill="1" applyBorder="1"/>
    <xf numFmtId="2" fontId="0" fillId="19" borderId="20" xfId="0" applyNumberFormat="1" applyFill="1" applyBorder="1"/>
    <xf numFmtId="2" fontId="0" fillId="19" borderId="19" xfId="0" applyNumberFormat="1" applyFill="1" applyBorder="1"/>
    <xf numFmtId="0" fontId="24" fillId="0" borderId="0" xfId="5" applyFont="1"/>
    <xf numFmtId="0" fontId="0" fillId="0" borderId="0" xfId="0" applyAlignment="1">
      <alignment horizontal="left" vertical="top" wrapText="1"/>
    </xf>
    <xf numFmtId="3" fontId="11" fillId="18" borderId="0" xfId="0" applyNumberFormat="1" applyFont="1" applyFill="1"/>
    <xf numFmtId="3" fontId="0" fillId="15" borderId="0" xfId="0" applyNumberFormat="1" applyFill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4" xfId="0" applyNumberFormat="1" applyBorder="1"/>
    <xf numFmtId="3" fontId="0" fillId="0" borderId="21" xfId="0" applyNumberFormat="1" applyBorder="1"/>
    <xf numFmtId="3" fontId="11" fillId="0" borderId="22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 wrapText="1"/>
    </xf>
    <xf numFmtId="3" fontId="0" fillId="0" borderId="23" xfId="0" applyNumberFormat="1" applyBorder="1" applyAlignment="1">
      <alignment horizontal="center" wrapText="1"/>
    </xf>
    <xf numFmtId="3" fontId="0" fillId="15" borderId="24" xfId="0" applyNumberFormat="1" applyFill="1" applyBorder="1"/>
    <xf numFmtId="3" fontId="19" fillId="15" borderId="26" xfId="0" applyNumberFormat="1" applyFont="1" applyFill="1" applyBorder="1"/>
    <xf numFmtId="3" fontId="19" fillId="18" borderId="7" xfId="0" applyNumberFormat="1" applyFont="1" applyFill="1" applyBorder="1"/>
    <xf numFmtId="3" fontId="0" fillId="15" borderId="25" xfId="0" applyNumberFormat="1" applyFill="1" applyBorder="1"/>
    <xf numFmtId="3" fontId="11" fillId="0" borderId="8" xfId="0" applyNumberFormat="1" applyFont="1" applyBorder="1"/>
    <xf numFmtId="3" fontId="0" fillId="0" borderId="3" xfId="0" applyNumberFormat="1" applyBorder="1"/>
    <xf numFmtId="3" fontId="0" fillId="0" borderId="27" xfId="0" applyNumberFormat="1" applyBorder="1"/>
    <xf numFmtId="3" fontId="0" fillId="14" borderId="30" xfId="0" applyNumberForma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2" xfId="0" applyNumberFormat="1" applyBorder="1"/>
    <xf numFmtId="3" fontId="0" fillId="0" borderId="0" xfId="1" applyNumberFormat="1" applyFont="1" applyFill="1" applyBorder="1" applyAlignment="1">
      <alignment horizontal="right"/>
    </xf>
    <xf numFmtId="4" fontId="0" fillId="0" borderId="0" xfId="0" applyNumberFormat="1"/>
    <xf numFmtId="2" fontId="0" fillId="0" borderId="0" xfId="0" applyNumberFormat="1"/>
    <xf numFmtId="3" fontId="0" fillId="0" borderId="18" xfId="0" applyNumberFormat="1" applyBorder="1"/>
    <xf numFmtId="3" fontId="0" fillId="0" borderId="20" xfId="0" applyNumberFormat="1" applyBorder="1"/>
    <xf numFmtId="3" fontId="0" fillId="0" borderId="19" xfId="0" applyNumberFormat="1" applyBorder="1"/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2" fontId="0" fillId="0" borderId="18" xfId="0" applyNumberFormat="1" applyBorder="1"/>
    <xf numFmtId="2" fontId="0" fillId="0" borderId="20" xfId="0" applyNumberFormat="1" applyBorder="1"/>
    <xf numFmtId="2" fontId="0" fillId="0" borderId="19" xfId="0" applyNumberFormat="1" applyBorder="1"/>
    <xf numFmtId="3" fontId="3" fillId="20" borderId="9" xfId="6" applyNumberFormat="1" applyFill="1" applyBorder="1" applyAlignment="1">
      <alignment vertical="top"/>
      <protection locked="0"/>
    </xf>
    <xf numFmtId="3" fontId="3" fillId="0" borderId="9" xfId="6" applyNumberFormat="1" applyFill="1" applyBorder="1" applyAlignment="1">
      <alignment vertical="top"/>
      <protection locked="0"/>
    </xf>
    <xf numFmtId="3" fontId="0" fillId="0" borderId="2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1" applyNumberFormat="1" applyFont="1" applyFill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1" applyNumberFormat="1" applyFont="1" applyFill="1" applyBorder="1"/>
    <xf numFmtId="3" fontId="11" fillId="0" borderId="9" xfId="1" applyNumberFormat="1" applyFont="1" applyFill="1" applyBorder="1"/>
    <xf numFmtId="3" fontId="11" fillId="0" borderId="25" xfId="1" applyNumberFormat="1" applyFont="1" applyFill="1" applyBorder="1"/>
    <xf numFmtId="3" fontId="3" fillId="20" borderId="25" xfId="6" applyNumberFormat="1" applyFill="1" applyBorder="1" applyAlignment="1">
      <alignment vertical="top"/>
      <protection locked="0"/>
    </xf>
    <xf numFmtId="3" fontId="11" fillId="0" borderId="28" xfId="1" applyNumberFormat="1" applyFont="1" applyFill="1" applyBorder="1"/>
    <xf numFmtId="3" fontId="11" fillId="0" borderId="29" xfId="1" applyNumberFormat="1" applyFont="1" applyFill="1" applyBorder="1"/>
    <xf numFmtId="3" fontId="11" fillId="14" borderId="15" xfId="0" applyNumberFormat="1" applyFont="1" applyFill="1" applyBorder="1" applyAlignment="1">
      <alignment horizontal="center" wrapText="1"/>
    </xf>
    <xf numFmtId="3" fontId="11" fillId="14" borderId="13" xfId="0" applyNumberFormat="1" applyFont="1" applyFill="1" applyBorder="1" applyAlignment="1">
      <alignment wrapText="1"/>
    </xf>
    <xf numFmtId="3" fontId="0" fillId="14" borderId="9" xfId="0" applyNumberFormat="1" applyFill="1" applyBorder="1" applyAlignment="1">
      <alignment wrapText="1"/>
    </xf>
    <xf numFmtId="3" fontId="11" fillId="14" borderId="9" xfId="0" applyNumberFormat="1" applyFont="1" applyFill="1" applyBorder="1" applyAlignment="1">
      <alignment wrapText="1"/>
    </xf>
    <xf numFmtId="3" fontId="11" fillId="14" borderId="28" xfId="0" applyNumberFormat="1" applyFont="1" applyFill="1" applyBorder="1" applyAlignment="1">
      <alignment wrapText="1"/>
    </xf>
    <xf numFmtId="3" fontId="0" fillId="14" borderId="28" xfId="0" applyNumberFormat="1" applyFill="1" applyBorder="1" applyAlignment="1">
      <alignment wrapText="1"/>
    </xf>
    <xf numFmtId="3" fontId="0" fillId="14" borderId="25" xfId="0" applyNumberFormat="1" applyFill="1" applyBorder="1" applyAlignment="1">
      <alignment wrapText="1"/>
    </xf>
    <xf numFmtId="3" fontId="0" fillId="14" borderId="29" xfId="0" applyNumberFormat="1" applyFill="1" applyBorder="1" applyAlignment="1">
      <alignment wrapText="1"/>
    </xf>
    <xf numFmtId="3" fontId="0" fillId="0" borderId="9" xfId="0" applyNumberFormat="1" applyBorder="1"/>
    <xf numFmtId="3" fontId="3" fillId="3" borderId="9" xfId="6" applyNumberFormat="1" applyBorder="1" applyAlignment="1">
      <alignment vertical="top"/>
      <protection locked="0"/>
    </xf>
    <xf numFmtId="3" fontId="3" fillId="3" borderId="25" xfId="6" applyNumberFormat="1" applyBorder="1" applyAlignment="1">
      <alignment vertical="top"/>
      <protection locked="0"/>
    </xf>
    <xf numFmtId="3" fontId="11" fillId="0" borderId="32" xfId="1" applyNumberFormat="1" applyFont="1" applyFill="1" applyBorder="1"/>
    <xf numFmtId="3" fontId="11" fillId="0" borderId="31" xfId="1" applyNumberFormat="1" applyFont="1" applyFill="1" applyBorder="1"/>
    <xf numFmtId="3" fontId="0" fillId="14" borderId="33" xfId="0" applyNumberFormat="1" applyFill="1" applyBorder="1" applyAlignment="1">
      <alignment horizontal="center" wrapText="1"/>
    </xf>
    <xf numFmtId="3" fontId="0" fillId="15" borderId="34" xfId="0" applyNumberFormat="1" applyFill="1" applyBorder="1"/>
    <xf numFmtId="3" fontId="3" fillId="3" borderId="34" xfId="6" applyNumberFormat="1" applyBorder="1" applyAlignment="1">
      <alignment vertical="top"/>
      <protection locked="0"/>
    </xf>
    <xf numFmtId="3" fontId="11" fillId="0" borderId="34" xfId="1" applyNumberFormat="1" applyFont="1" applyFill="1" applyBorder="1"/>
    <xf numFmtId="3" fontId="3" fillId="20" borderId="34" xfId="6" applyNumberFormat="1" applyFill="1" applyBorder="1" applyAlignment="1">
      <alignment vertical="top"/>
      <protection locked="0"/>
    </xf>
    <xf numFmtId="3" fontId="11" fillId="0" borderId="35" xfId="1" applyNumberFormat="1" applyFont="1" applyFill="1" applyBorder="1"/>
    <xf numFmtId="3" fontId="0" fillId="14" borderId="34" xfId="0" applyNumberFormat="1" applyFill="1" applyBorder="1" applyAlignment="1">
      <alignment wrapText="1"/>
    </xf>
    <xf numFmtId="3" fontId="0" fillId="14" borderId="35" xfId="0" applyNumberFormat="1" applyFill="1" applyBorder="1" applyAlignment="1">
      <alignment wrapText="1"/>
    </xf>
  </cellXfs>
  <cellStyles count="23">
    <cellStyle name="Change in Formula" xfId="3" xr:uid="{00000000-0005-0000-0000-000000000000}"/>
    <cellStyle name="Comma" xfId="1" builtinId="3" customBuiltin="1"/>
    <cellStyle name="Comma [0]" xfId="2" builtinId="6" customBuiltin="1"/>
    <cellStyle name="Error checks" xfId="4" xr:uid="{00000000-0005-0000-0000-000003000000}"/>
    <cellStyle name="Error Warning" xfId="5" xr:uid="{00000000-0005-0000-0000-000004000000}"/>
    <cellStyle name="import" xfId="21" xr:uid="{2DA88D37-C6CA-4621-8448-9EF897DCEC5E}"/>
    <cellStyle name="Info/Default #" xfId="15" xr:uid="{00000000-0005-0000-0000-000006000000}"/>
    <cellStyle name="Info/default %" xfId="12" xr:uid="{00000000-0005-0000-0000-000007000000}"/>
    <cellStyle name="Info/import #" xfId="11" xr:uid="{00000000-0005-0000-0000-000008000000}"/>
    <cellStyle name="Info/import %" xfId="14" xr:uid="{00000000-0005-0000-0000-000009000000}"/>
    <cellStyle name="Input #" xfId="6" xr:uid="{00000000-0005-0000-0000-00000A000000}"/>
    <cellStyle name="Input %" xfId="7" xr:uid="{00000000-0005-0000-0000-00000B000000}"/>
    <cellStyle name="Input2" xfId="8" xr:uid="{00000000-0005-0000-0000-00000C000000}"/>
    <cellStyle name="Key Outputs" xfId="9" xr:uid="{00000000-0005-0000-0000-00000D000000}"/>
    <cellStyle name="Links from other files (green) style" xfId="10" xr:uid="{00000000-0005-0000-0000-00000E000000}"/>
    <cellStyle name="Local import" xfId="22" xr:uid="{F43D8B61-6A85-4C1E-AEC7-CF12F46BCF2B}"/>
    <cellStyle name="Normal" xfId="0" builtinId="0" customBuiltin="1"/>
    <cellStyle name="Normal 2" xfId="18" xr:uid="{00000000-0005-0000-0000-000010000000}"/>
    <cellStyle name="Normal 3" xfId="19" xr:uid="{00000000-0005-0000-0000-000011000000}"/>
    <cellStyle name="Percent 2" xfId="16" xr:uid="{00000000-0005-0000-0000-000012000000}"/>
    <cellStyle name="Percent 2 2" xfId="17" xr:uid="{00000000-0005-0000-0000-000013000000}"/>
    <cellStyle name="QA" xfId="13" xr:uid="{00000000-0005-0000-0000-000014000000}"/>
    <cellStyle name="Source" xfId="20" xr:uid="{FF3C3CBD-6D4A-4CD3-A42D-05188F4B9C0E}"/>
  </cellStyles>
  <dxfs count="0"/>
  <tableStyles count="0" defaultTableStyle="TableStyleMedium2" defaultPivotStyle="PivotStyleLight16"/>
  <colors>
    <mruColors>
      <color rgb="FFCCCCFF"/>
      <color rgb="FFFFFFCC"/>
      <color rgb="FF48B749"/>
      <color rgb="FFFFCB05"/>
      <color rgb="FFF78D1E"/>
      <color rgb="FFCC1F26"/>
      <color rgb="FF8E4399"/>
      <color rgb="FF007BC4"/>
      <color rgb="FF194787"/>
      <color rgb="FF8FB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4</xdr:col>
      <xdr:colOff>1274984</xdr:colOff>
      <xdr:row>44</xdr:row>
      <xdr:rowOff>123357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FB90BB-1F97-BF9B-64B6-6708C4AE6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248275"/>
          <a:ext cx="10923809" cy="3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iPart">
  <a:themeElements>
    <a:clrScheme name="IPART Colours">
      <a:dk1>
        <a:srgbClr val="2E2E2F"/>
      </a:dk1>
      <a:lt1>
        <a:sysClr val="window" lastClr="FFFFFF"/>
      </a:lt1>
      <a:dk2>
        <a:srgbClr val="011D4B"/>
      </a:dk2>
      <a:lt2>
        <a:srgbClr val="ECE9E7"/>
      </a:lt2>
      <a:accent1>
        <a:srgbClr val="1C355E"/>
      </a:accent1>
      <a:accent2>
        <a:srgbClr val="3E5376"/>
      </a:accent2>
      <a:accent3>
        <a:srgbClr val="7287A6"/>
      </a:accent3>
      <a:accent4>
        <a:srgbClr val="C6CDD7"/>
      </a:accent4>
      <a:accent5>
        <a:srgbClr val="009DDB"/>
      </a:accent5>
      <a:accent6>
        <a:srgbClr val="115F7E"/>
      </a:accent6>
      <a:hlink>
        <a:srgbClr val="00AEEF"/>
      </a:hlink>
      <a:folHlink>
        <a:srgbClr val="520F9A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Part" id="{5B29015D-EA79-45B6-9D51-0920F8122064}" vid="{EB9EA9A6-3ABD-45FF-A322-72402604B08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3:E58"/>
  <sheetViews>
    <sheetView showGridLines="0" tabSelected="1" zoomScaleNormal="100" workbookViewId="0"/>
  </sheetViews>
  <sheetFormatPr defaultColWidth="9.09765625" defaultRowHeight="11.5" x14ac:dyDescent="0.25"/>
  <cols>
    <col min="1" max="1" width="2.8984375" customWidth="1"/>
    <col min="2" max="2" width="5" customWidth="1"/>
    <col min="3" max="3" width="7.296875" customWidth="1"/>
    <col min="4" max="4" width="139.69921875" customWidth="1"/>
    <col min="5" max="5" width="23.8984375" customWidth="1"/>
  </cols>
  <sheetData>
    <row r="3" spans="2:5" ht="15.5" x14ac:dyDescent="0.35">
      <c r="B3" s="4" t="s">
        <v>98</v>
      </c>
      <c r="C3" s="4"/>
      <c r="D3" s="5"/>
    </row>
    <row r="4" spans="2:5" ht="15.75" customHeight="1" x14ac:dyDescent="0.25">
      <c r="B4" s="6"/>
      <c r="C4" s="6"/>
      <c r="D4" s="6"/>
      <c r="E4" s="7"/>
    </row>
    <row r="5" spans="2:5" ht="14" x14ac:dyDescent="0.3">
      <c r="B5" s="8" t="s">
        <v>120</v>
      </c>
      <c r="C5" s="8"/>
      <c r="D5" s="9"/>
    </row>
    <row r="7" spans="2:5" ht="15" customHeight="1" x14ac:dyDescent="0.25">
      <c r="B7" s="7" t="s">
        <v>116</v>
      </c>
      <c r="C7" s="7"/>
      <c r="D7" s="7"/>
      <c r="E7" s="7"/>
    </row>
    <row r="8" spans="2:5" ht="15" customHeight="1" x14ac:dyDescent="0.25">
      <c r="B8" s="7"/>
      <c r="C8" s="7"/>
      <c r="D8" s="7"/>
      <c r="E8" s="7"/>
    </row>
    <row r="9" spans="2:5" ht="15" customHeight="1" x14ac:dyDescent="0.25">
      <c r="B9" s="7" t="s">
        <v>117</v>
      </c>
      <c r="C9" s="7"/>
      <c r="D9" s="7"/>
    </row>
    <row r="10" spans="2:5" ht="15" customHeight="1" x14ac:dyDescent="0.25">
      <c r="B10" s="7" t="s">
        <v>118</v>
      </c>
      <c r="C10" s="7"/>
      <c r="D10" s="7"/>
    </row>
    <row r="11" spans="2:5" ht="15" customHeight="1" x14ac:dyDescent="0.25">
      <c r="B11" s="7"/>
      <c r="C11" s="7"/>
      <c r="D11" s="7"/>
      <c r="E11" s="7"/>
    </row>
    <row r="12" spans="2:5" ht="15" customHeight="1" x14ac:dyDescent="0.25">
      <c r="B12" s="7" t="s">
        <v>109</v>
      </c>
      <c r="C12" s="7"/>
      <c r="D12" s="7"/>
      <c r="E12" s="7"/>
    </row>
    <row r="13" spans="2:5" ht="15" customHeight="1" x14ac:dyDescent="0.25">
      <c r="B13" s="7"/>
      <c r="C13" s="7"/>
      <c r="D13" s="7"/>
      <c r="E13" s="7"/>
    </row>
    <row r="14" spans="2:5" ht="14" x14ac:dyDescent="0.3">
      <c r="B14" s="8" t="s">
        <v>121</v>
      </c>
      <c r="C14" s="8"/>
      <c r="D14" s="11"/>
    </row>
    <row r="15" spans="2:5" ht="15" customHeight="1" x14ac:dyDescent="0.25"/>
    <row r="16" spans="2:5" ht="15" customHeight="1" x14ac:dyDescent="0.25">
      <c r="B16" s="7" t="s">
        <v>99</v>
      </c>
      <c r="C16" s="7"/>
      <c r="D16" s="7"/>
      <c r="E16" s="7"/>
    </row>
    <row r="17" spans="2:5" ht="15" customHeight="1" x14ac:dyDescent="0.25">
      <c r="B17" s="7"/>
      <c r="C17" s="7"/>
      <c r="D17" s="7"/>
      <c r="E17" s="7"/>
    </row>
    <row r="18" spans="2:5" ht="40" customHeight="1" x14ac:dyDescent="0.25">
      <c r="C18" s="7">
        <v>1</v>
      </c>
      <c r="D18" s="83" t="s">
        <v>104</v>
      </c>
      <c r="E18" s="7"/>
    </row>
    <row r="19" spans="2:5" ht="40" customHeight="1" x14ac:dyDescent="0.25">
      <c r="B19" s="7"/>
      <c r="C19" s="7">
        <v>2</v>
      </c>
      <c r="D19" s="83" t="s">
        <v>105</v>
      </c>
      <c r="E19" s="7"/>
    </row>
    <row r="20" spans="2:5" ht="15" customHeight="1" x14ac:dyDescent="0.25">
      <c r="B20" s="10"/>
      <c r="C20" s="7">
        <v>3</v>
      </c>
      <c r="D20" s="7" t="s">
        <v>100</v>
      </c>
      <c r="E20" s="7"/>
    </row>
    <row r="21" spans="2:5" ht="15" customHeight="1" x14ac:dyDescent="0.25">
      <c r="B21" s="10"/>
      <c r="C21" s="10"/>
      <c r="D21" s="7"/>
      <c r="E21" s="7"/>
    </row>
    <row r="22" spans="2:5" ht="15" customHeight="1" x14ac:dyDescent="0.3">
      <c r="B22" s="8" t="s">
        <v>122</v>
      </c>
      <c r="C22" s="8"/>
      <c r="D22" s="8"/>
      <c r="E22" s="7"/>
    </row>
    <row r="23" spans="2:5" ht="15" customHeight="1" x14ac:dyDescent="0.25">
      <c r="B23" s="10"/>
      <c r="C23" s="10"/>
      <c r="D23" s="7"/>
      <c r="E23" s="7"/>
    </row>
    <row r="24" spans="2:5" ht="15" customHeight="1" x14ac:dyDescent="0.25">
      <c r="B24" s="7" t="s">
        <v>123</v>
      </c>
      <c r="C24" s="10"/>
      <c r="D24" s="7"/>
      <c r="E24" s="7"/>
    </row>
    <row r="25" spans="2:5" ht="15" customHeight="1" x14ac:dyDescent="0.25">
      <c r="B25" s="7"/>
      <c r="C25" s="10"/>
      <c r="D25" s="7"/>
      <c r="E25" s="7"/>
    </row>
    <row r="26" spans="2:5" ht="15" customHeight="1" x14ac:dyDescent="0.25">
      <c r="B26" s="7"/>
      <c r="C26" s="10"/>
      <c r="D26" s="7"/>
      <c r="E26" s="7"/>
    </row>
    <row r="27" spans="2:5" ht="15" customHeight="1" x14ac:dyDescent="0.25">
      <c r="B27" s="10"/>
      <c r="C27" s="10"/>
      <c r="D27" s="7"/>
      <c r="E27" s="7"/>
    </row>
    <row r="28" spans="2:5" ht="15" customHeight="1" x14ac:dyDescent="0.25">
      <c r="B28" s="10"/>
      <c r="C28" s="10"/>
      <c r="D28" s="7"/>
      <c r="E28" s="7"/>
    </row>
    <row r="29" spans="2:5" ht="15" customHeight="1" x14ac:dyDescent="0.25">
      <c r="B29" s="10"/>
      <c r="C29" s="10"/>
      <c r="D29" s="7"/>
      <c r="E29" s="7"/>
    </row>
    <row r="30" spans="2:5" ht="15" customHeight="1" x14ac:dyDescent="0.25">
      <c r="B30" s="10"/>
      <c r="C30" s="10"/>
      <c r="D30" s="7"/>
      <c r="E30" s="7"/>
    </row>
    <row r="31" spans="2:5" ht="15" customHeight="1" x14ac:dyDescent="0.25">
      <c r="B31" s="10"/>
      <c r="C31" s="10"/>
      <c r="D31" s="7"/>
      <c r="E31" s="7"/>
    </row>
    <row r="32" spans="2:5" ht="15" customHeight="1" x14ac:dyDescent="0.25">
      <c r="B32" s="10"/>
      <c r="C32" s="10"/>
      <c r="D32" s="7"/>
      <c r="E32" s="7"/>
    </row>
    <row r="33" spans="2:5" ht="15" customHeight="1" x14ac:dyDescent="0.25">
      <c r="B33" s="10"/>
      <c r="C33" s="10"/>
      <c r="D33" s="7"/>
      <c r="E33" s="7"/>
    </row>
    <row r="34" spans="2:5" ht="15" customHeight="1" x14ac:dyDescent="0.25">
      <c r="B34" s="10"/>
      <c r="C34" s="10"/>
      <c r="D34" s="7"/>
      <c r="E34" s="7"/>
    </row>
    <row r="35" spans="2:5" ht="15" customHeight="1" x14ac:dyDescent="0.25">
      <c r="B35" s="10"/>
      <c r="C35" s="10"/>
      <c r="D35" s="7"/>
      <c r="E35" s="7"/>
    </row>
    <row r="36" spans="2:5" ht="15" customHeight="1" x14ac:dyDescent="0.25">
      <c r="B36" s="10"/>
      <c r="C36" s="10"/>
      <c r="D36" s="7"/>
      <c r="E36" s="7"/>
    </row>
    <row r="37" spans="2:5" ht="15" customHeight="1" x14ac:dyDescent="0.25">
      <c r="B37" s="10"/>
      <c r="C37" s="10"/>
      <c r="D37" s="7"/>
      <c r="E37" s="7"/>
    </row>
    <row r="38" spans="2:5" ht="15" customHeight="1" x14ac:dyDescent="0.25">
      <c r="B38" s="10"/>
      <c r="C38" s="10"/>
      <c r="D38" s="7"/>
      <c r="E38" s="7"/>
    </row>
    <row r="39" spans="2:5" ht="15" customHeight="1" x14ac:dyDescent="0.25">
      <c r="B39" s="10"/>
      <c r="C39" s="10"/>
      <c r="D39" s="7"/>
      <c r="E39" s="7"/>
    </row>
    <row r="40" spans="2:5" ht="15" customHeight="1" x14ac:dyDescent="0.25">
      <c r="B40" s="10"/>
      <c r="C40" s="10"/>
      <c r="D40" s="7"/>
      <c r="E40" s="7"/>
    </row>
    <row r="41" spans="2:5" ht="15" customHeight="1" x14ac:dyDescent="0.25">
      <c r="B41" s="10"/>
      <c r="C41" s="10"/>
      <c r="D41" s="7"/>
      <c r="E41" s="7"/>
    </row>
    <row r="42" spans="2:5" ht="15" customHeight="1" x14ac:dyDescent="0.25">
      <c r="B42" s="10"/>
      <c r="C42" s="10"/>
      <c r="D42" s="7"/>
      <c r="E42" s="7"/>
    </row>
    <row r="43" spans="2:5" ht="15" customHeight="1" x14ac:dyDescent="0.25">
      <c r="B43" s="10"/>
      <c r="C43" s="10"/>
      <c r="D43" s="7"/>
      <c r="E43" s="7"/>
    </row>
    <row r="44" spans="2:5" ht="15" customHeight="1" x14ac:dyDescent="0.25">
      <c r="B44" s="10"/>
      <c r="C44" s="10"/>
      <c r="D44" s="7"/>
      <c r="E44" s="7"/>
    </row>
    <row r="45" spans="2:5" ht="15" customHeight="1" x14ac:dyDescent="0.25">
      <c r="B45" s="10"/>
      <c r="C45" s="10"/>
      <c r="D45" s="7"/>
      <c r="E45" s="7"/>
    </row>
    <row r="46" spans="2:5" ht="15" customHeight="1" x14ac:dyDescent="0.25">
      <c r="B46" s="10"/>
      <c r="C46" s="10"/>
      <c r="D46" s="7"/>
      <c r="E46" s="7"/>
    </row>
    <row r="47" spans="2:5" ht="15" customHeight="1" x14ac:dyDescent="0.3">
      <c r="B47" s="8" t="s">
        <v>101</v>
      </c>
      <c r="C47" s="8"/>
      <c r="D47" s="11"/>
      <c r="E47" s="7"/>
    </row>
    <row r="48" spans="2:5" ht="15" customHeight="1" x14ac:dyDescent="0.25">
      <c r="B48" s="2" t="s">
        <v>119</v>
      </c>
      <c r="C48" s="2"/>
      <c r="D48" s="7"/>
      <c r="E48" s="7"/>
    </row>
    <row r="49" spans="1:5" ht="15" customHeight="1" x14ac:dyDescent="0.25">
      <c r="B49" s="12" t="s">
        <v>1</v>
      </c>
      <c r="C49" s="12"/>
      <c r="D49" s="12"/>
      <c r="E49" s="7"/>
    </row>
    <row r="50" spans="1:5" ht="15" customHeight="1" x14ac:dyDescent="0.25">
      <c r="B50" s="1" t="s">
        <v>2</v>
      </c>
      <c r="C50" s="13"/>
      <c r="D50" s="13"/>
      <c r="E50" s="7"/>
    </row>
    <row r="51" spans="1:5" ht="15" customHeight="1" x14ac:dyDescent="0.3">
      <c r="B51" s="2"/>
      <c r="C51" s="2"/>
      <c r="D51" s="2" t="s">
        <v>3</v>
      </c>
      <c r="E51" s="7"/>
    </row>
    <row r="52" spans="1:5" ht="15" customHeight="1" x14ac:dyDescent="0.25">
      <c r="B52" s="22" t="s">
        <v>4</v>
      </c>
      <c r="C52" s="14"/>
      <c r="D52" s="14"/>
      <c r="E52" s="7"/>
    </row>
    <row r="53" spans="1:5" ht="15" customHeight="1" x14ac:dyDescent="0.25">
      <c r="B53" s="15" t="s">
        <v>0</v>
      </c>
      <c r="C53" s="15"/>
      <c r="D53" s="15"/>
      <c r="E53" s="7"/>
    </row>
    <row r="54" spans="1:5" ht="15" customHeight="1" x14ac:dyDescent="0.25">
      <c r="B54" s="16" t="s">
        <v>5</v>
      </c>
      <c r="C54" s="16"/>
      <c r="D54" s="17"/>
      <c r="E54" s="7"/>
    </row>
    <row r="55" spans="1:5" ht="15" customHeight="1" x14ac:dyDescent="0.25">
      <c r="B55" s="18" t="s">
        <v>6</v>
      </c>
      <c r="C55" s="18"/>
      <c r="D55" s="19"/>
      <c r="E55" s="7"/>
    </row>
    <row r="56" spans="1:5" ht="15" customHeight="1" x14ac:dyDescent="0.25">
      <c r="A56" s="23"/>
      <c r="B56" s="20" t="s">
        <v>102</v>
      </c>
      <c r="C56" s="21"/>
      <c r="D56" s="21"/>
      <c r="E56" s="7"/>
    </row>
    <row r="57" spans="1:5" ht="15" customHeight="1" x14ac:dyDescent="0.25">
      <c r="B57" s="10"/>
      <c r="C57" s="10"/>
      <c r="D57" s="7"/>
      <c r="E57" s="7"/>
    </row>
    <row r="58" spans="1:5" x14ac:dyDescent="0.25">
      <c r="B58" s="10"/>
      <c r="C58" s="10"/>
      <c r="D58" s="7"/>
      <c r="E58" s="7"/>
    </row>
  </sheetData>
  <pageMargins left="0.7" right="0.7" top="0.75" bottom="0.75" header="0.3" footer="0.3"/>
  <pageSetup paperSize="9" scale="94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3:AD201"/>
  <sheetViews>
    <sheetView showGridLines="0" zoomScaleNormal="100" workbookViewId="0"/>
  </sheetViews>
  <sheetFormatPr defaultRowHeight="11.5" x14ac:dyDescent="0.25"/>
  <cols>
    <col min="1" max="2" width="3.69921875" style="25" customWidth="1"/>
    <col min="3" max="3" width="21.8984375" style="25" customWidth="1"/>
    <col min="4" max="4" width="6.59765625" style="25" customWidth="1"/>
    <col min="5" max="5" width="8.09765625" style="25" customWidth="1"/>
    <col min="6" max="6" width="10.8984375" style="25" customWidth="1"/>
    <col min="7" max="28" width="13.19921875" style="25" customWidth="1"/>
    <col min="29" max="16384" width="8.796875" style="25"/>
  </cols>
  <sheetData>
    <row r="3" spans="3:28" ht="15.5" x14ac:dyDescent="0.25">
      <c r="C3" s="27" t="s">
        <v>52</v>
      </c>
      <c r="D3" s="38"/>
      <c r="E3" s="39"/>
      <c r="F3" s="39"/>
      <c r="G3" s="39"/>
      <c r="H3" s="39"/>
      <c r="I3" s="40"/>
      <c r="J3" s="40"/>
      <c r="K3" s="41"/>
      <c r="L3" s="41"/>
      <c r="M3" s="41"/>
      <c r="N3" s="42"/>
      <c r="O3" s="41"/>
      <c r="P3" s="41"/>
      <c r="Q3" s="41"/>
      <c r="R3" s="41"/>
      <c r="S3" s="41"/>
      <c r="T3" s="41"/>
      <c r="U3" s="41"/>
      <c r="V3" s="41"/>
      <c r="W3" s="41"/>
      <c r="X3" s="41"/>
      <c r="Y3"/>
      <c r="Z3"/>
      <c r="AA3"/>
      <c r="AB3"/>
    </row>
    <row r="4" spans="3:28" x14ac:dyDescent="0.25">
      <c r="D4" s="43"/>
      <c r="I4" s="44"/>
      <c r="J4" s="44"/>
      <c r="K4" s="45"/>
      <c r="L4" s="45"/>
      <c r="M4" s="45"/>
      <c r="N4" s="46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7"/>
      <c r="AB4" s="47"/>
    </row>
    <row r="5" spans="3:28" x14ac:dyDescent="0.25">
      <c r="C5" s="25" t="s">
        <v>106</v>
      </c>
      <c r="D5" s="43"/>
      <c r="K5" s="102" t="s">
        <v>107</v>
      </c>
      <c r="L5" s="102"/>
      <c r="M5" s="45"/>
      <c r="N5" s="46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7"/>
      <c r="AB5" s="47"/>
    </row>
    <row r="6" spans="3:28" x14ac:dyDescent="0.25">
      <c r="C6" s="115" t="str">
        <f>C23</f>
        <v>Table 1: Draft report user share of operating expenditure by cost category and valley ($'000, $2025-26)</v>
      </c>
      <c r="D6" s="116"/>
      <c r="E6" s="115"/>
      <c r="F6" s="115"/>
      <c r="G6" s="115"/>
      <c r="H6" s="115"/>
      <c r="I6" s="115"/>
      <c r="J6" s="115"/>
      <c r="K6" s="117">
        <f>ROW(C23)</f>
        <v>23</v>
      </c>
      <c r="L6" s="44"/>
      <c r="M6" s="45"/>
      <c r="N6" s="46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7"/>
      <c r="AB6" s="47"/>
    </row>
    <row r="7" spans="3:28" x14ac:dyDescent="0.25">
      <c r="C7" s="25" t="str">
        <f>C88</f>
        <v>Table 2: Border operating expenditure ($'000, $2025-26)</v>
      </c>
      <c r="D7" s="43"/>
      <c r="K7" s="44">
        <f>ROW(C88)</f>
        <v>88</v>
      </c>
      <c r="L7" s="44"/>
      <c r="M7" s="45"/>
      <c r="N7" s="46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7"/>
      <c r="AB7" s="47"/>
    </row>
    <row r="8" spans="3:28" x14ac:dyDescent="0.25">
      <c r="C8" s="25" t="str">
        <f>C97</f>
        <v>Table 3: Gwydir operating expenditure ($'000, $2025-26)</v>
      </c>
      <c r="D8" s="43"/>
      <c r="K8" s="44">
        <f>ROW(C97)</f>
        <v>97</v>
      </c>
      <c r="L8" s="44"/>
      <c r="M8" s="45"/>
      <c r="N8" s="46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7"/>
      <c r="AB8" s="47"/>
    </row>
    <row r="9" spans="3:28" x14ac:dyDescent="0.25">
      <c r="C9" s="25" t="str">
        <f>C106</f>
        <v>Table 4: Namoi operating expenditure ($'000, $2025-26)</v>
      </c>
      <c r="D9" s="43"/>
      <c r="K9" s="44">
        <f>ROW(C106)</f>
        <v>106</v>
      </c>
      <c r="L9" s="44"/>
      <c r="M9" s="45"/>
      <c r="N9" s="46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7"/>
      <c r="AB9" s="47"/>
    </row>
    <row r="10" spans="3:28" x14ac:dyDescent="0.25">
      <c r="C10" s="25" t="str">
        <f>C115</f>
        <v>Table 5: Peel operating expenditure ($'000, $2025-26)</v>
      </c>
      <c r="D10" s="43"/>
      <c r="K10" s="44">
        <f>ROW(C115)</f>
        <v>115</v>
      </c>
      <c r="L10" s="44"/>
      <c r="M10" s="45"/>
      <c r="N10" s="46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7"/>
      <c r="AB10" s="47"/>
    </row>
    <row r="11" spans="3:28" x14ac:dyDescent="0.25">
      <c r="C11" s="25" t="str">
        <f>C124</f>
        <v>Table 6: Lachlan operating expenditure ($'000, $2025-26)</v>
      </c>
      <c r="D11" s="43"/>
      <c r="K11" s="44">
        <f>ROW(C124)</f>
        <v>124</v>
      </c>
      <c r="L11" s="44"/>
      <c r="M11" s="45"/>
      <c r="N11" s="46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7"/>
      <c r="AB11" s="47"/>
    </row>
    <row r="12" spans="3:28" x14ac:dyDescent="0.25">
      <c r="C12" s="25" t="str">
        <f>C133</f>
        <v>Table 7: Macquarie operating expenditure ($'000, $2025-26)</v>
      </c>
      <c r="D12" s="43"/>
      <c r="K12" s="44">
        <f>ROW(C133)</f>
        <v>133</v>
      </c>
      <c r="L12" s="44"/>
      <c r="M12" s="45"/>
      <c r="N12" s="46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7"/>
      <c r="AB12" s="47"/>
    </row>
    <row r="13" spans="3:28" x14ac:dyDescent="0.25">
      <c r="C13" s="25" t="str">
        <f>C142</f>
        <v>Table 8: Murray operating expenditure ($'000, $2025-26)</v>
      </c>
      <c r="D13" s="43"/>
      <c r="K13" s="44">
        <f>ROW(C142)</f>
        <v>142</v>
      </c>
      <c r="L13" s="44"/>
      <c r="M13" s="45"/>
      <c r="N13" s="46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7"/>
      <c r="AB13" s="47"/>
    </row>
    <row r="14" spans="3:28" x14ac:dyDescent="0.25">
      <c r="C14" s="25" t="str">
        <f>C151</f>
        <v>Table 9: Murrumbidgee operating expenditure ($'000, $2025-26)</v>
      </c>
      <c r="D14" s="43"/>
      <c r="K14" s="44">
        <f>ROW(C151)</f>
        <v>151</v>
      </c>
      <c r="L14" s="44"/>
      <c r="M14" s="45"/>
      <c r="N14" s="46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7"/>
      <c r="AB14" s="47"/>
    </row>
    <row r="15" spans="3:28" x14ac:dyDescent="0.25">
      <c r="C15" s="25" t="str">
        <f>C160</f>
        <v>Table 10: Lowbidgee operating expenditure ($'000, $2025-26)</v>
      </c>
      <c r="D15" s="43"/>
      <c r="K15" s="44">
        <f>ROW(C160)</f>
        <v>160</v>
      </c>
      <c r="L15" s="44"/>
      <c r="M15" s="45"/>
      <c r="N15" s="46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7"/>
      <c r="AB15" s="47"/>
    </row>
    <row r="16" spans="3:28" x14ac:dyDescent="0.25">
      <c r="C16" s="25" t="str">
        <f>C169</f>
        <v>Table 11: North Coast operating expenditure ($'000, $2025-26)</v>
      </c>
      <c r="D16" s="43"/>
      <c r="K16" s="44">
        <f>ROW(C169)</f>
        <v>169</v>
      </c>
      <c r="L16" s="44"/>
      <c r="M16" s="45"/>
      <c r="N16" s="46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7"/>
      <c r="AB16" s="47"/>
    </row>
    <row r="17" spans="3:28" x14ac:dyDescent="0.25">
      <c r="C17" s="25" t="str">
        <f>C178</f>
        <v>Table 12: Hunter operating expenditure ($'000, $2025-26)</v>
      </c>
      <c r="D17" s="43"/>
      <c r="K17" s="44">
        <f>ROW(C178)</f>
        <v>178</v>
      </c>
      <c r="L17" s="44"/>
      <c r="M17" s="45"/>
      <c r="N17" s="4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7"/>
      <c r="AB17" s="47"/>
    </row>
    <row r="18" spans="3:28" x14ac:dyDescent="0.25">
      <c r="C18" s="25" t="str">
        <f>C187</f>
        <v>Table 13: South Coast operating expenditure ($'000, $2025-26)</v>
      </c>
      <c r="D18" s="43"/>
      <c r="K18" s="44">
        <f>ROW(C187)</f>
        <v>187</v>
      </c>
      <c r="L18" s="44"/>
      <c r="M18" s="45"/>
      <c r="N18" s="4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7"/>
      <c r="AB18" s="47"/>
    </row>
    <row r="19" spans="3:28" x14ac:dyDescent="0.25">
      <c r="C19" s="118" t="str">
        <f>C196</f>
        <v>Table 14: Fish River operating expenditure ($'000, $2025-26)</v>
      </c>
      <c r="D19" s="119"/>
      <c r="E19" s="118"/>
      <c r="F19" s="118"/>
      <c r="G19" s="118"/>
      <c r="H19" s="118"/>
      <c r="I19" s="118"/>
      <c r="J19" s="118"/>
      <c r="K19" s="120">
        <f>ROW(C196)</f>
        <v>196</v>
      </c>
      <c r="L19" s="44"/>
      <c r="M19" s="45"/>
      <c r="N19" s="46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7"/>
      <c r="AB19" s="47"/>
    </row>
    <row r="20" spans="3:28" x14ac:dyDescent="0.25">
      <c r="D20" s="43"/>
      <c r="K20" s="45"/>
      <c r="L20" s="45"/>
      <c r="M20" s="45"/>
      <c r="N20" s="46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7"/>
      <c r="AB20" s="47"/>
    </row>
    <row r="21" spans="3:28" x14ac:dyDescent="0.25">
      <c r="D21" s="43"/>
      <c r="I21" s="44"/>
      <c r="J21" s="44"/>
      <c r="K21" s="45"/>
      <c r="L21" s="45"/>
      <c r="M21" s="45"/>
      <c r="N21" s="46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7"/>
      <c r="AB21" s="47"/>
    </row>
    <row r="22" spans="3:28" x14ac:dyDescent="0.25">
      <c r="D22" s="43"/>
      <c r="F22" s="48"/>
      <c r="G22" s="48"/>
      <c r="H22" s="48"/>
      <c r="I22" s="48"/>
      <c r="J22" s="48"/>
      <c r="K22" s="48"/>
      <c r="L22" s="48"/>
      <c r="M22" s="48"/>
      <c r="N22" s="48"/>
    </row>
    <row r="23" spans="3:28" ht="12" thickBot="1" x14ac:dyDescent="0.3">
      <c r="C23" s="49" t="s">
        <v>108</v>
      </c>
      <c r="D23" s="43"/>
      <c r="Q23" s="50"/>
    </row>
    <row r="24" spans="3:28" ht="34.5" x14ac:dyDescent="0.25">
      <c r="C24" s="29" t="s">
        <v>9</v>
      </c>
      <c r="D24" s="51"/>
      <c r="E24" s="52"/>
      <c r="F24" s="53" t="s">
        <v>10</v>
      </c>
      <c r="G24" s="54" t="s">
        <v>11</v>
      </c>
      <c r="H24" s="54" t="s">
        <v>12</v>
      </c>
      <c r="I24" s="54" t="s">
        <v>13</v>
      </c>
      <c r="J24" s="54" t="s">
        <v>25</v>
      </c>
      <c r="K24" s="54" t="s">
        <v>14</v>
      </c>
      <c r="L24" s="54" t="s">
        <v>27</v>
      </c>
      <c r="M24" s="54" t="s">
        <v>15</v>
      </c>
      <c r="N24" s="54" t="s">
        <v>16</v>
      </c>
      <c r="O24" s="54" t="s">
        <v>17</v>
      </c>
      <c r="P24" s="54" t="s">
        <v>23</v>
      </c>
      <c r="Q24" s="54" t="s">
        <v>18</v>
      </c>
      <c r="R24" s="54" t="s">
        <v>19</v>
      </c>
      <c r="S24" s="55" t="s">
        <v>24</v>
      </c>
      <c r="T24" s="54" t="s">
        <v>20</v>
      </c>
      <c r="U24" s="54" t="s">
        <v>21</v>
      </c>
      <c r="V24" s="54" t="s">
        <v>22</v>
      </c>
      <c r="W24" s="54" t="s">
        <v>26</v>
      </c>
      <c r="X24" s="139" t="s">
        <v>49</v>
      </c>
    </row>
    <row r="25" spans="3:28" ht="15.5" x14ac:dyDescent="0.35">
      <c r="C25" s="30" t="s">
        <v>56</v>
      </c>
      <c r="D25" s="85"/>
      <c r="E25" s="5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140"/>
    </row>
    <row r="26" spans="3:28" x14ac:dyDescent="0.25">
      <c r="C26" s="57" t="s">
        <v>28</v>
      </c>
      <c r="D26" s="86" t="s">
        <v>29</v>
      </c>
      <c r="E26" s="26"/>
      <c r="F26" s="134">
        <f t="shared" ref="F26:F39" si="0">SUM(G26:Z26)</f>
        <v>1658.2134646682819</v>
      </c>
      <c r="G26" s="135">
        <v>264.61220114326369</v>
      </c>
      <c r="H26" s="135">
        <v>19.624494643336853</v>
      </c>
      <c r="I26" s="135">
        <v>188.90608477148561</v>
      </c>
      <c r="J26" s="135">
        <v>0</v>
      </c>
      <c r="K26" s="135">
        <v>311.22967448451516</v>
      </c>
      <c r="L26" s="135">
        <v>0</v>
      </c>
      <c r="M26" s="135">
        <v>0</v>
      </c>
      <c r="N26" s="135">
        <v>49.299052379561203</v>
      </c>
      <c r="O26" s="135">
        <v>23.802835012964849</v>
      </c>
      <c r="P26" s="135">
        <v>44.699070291466164</v>
      </c>
      <c r="Q26" s="135">
        <v>144.4072785868193</v>
      </c>
      <c r="R26" s="135">
        <v>376.00694657271288</v>
      </c>
      <c r="S26" s="135">
        <v>0.35335016608324943</v>
      </c>
      <c r="T26" s="135">
        <v>60.411269603370656</v>
      </c>
      <c r="U26" s="135">
        <v>144.26607089129439</v>
      </c>
      <c r="V26" s="135">
        <v>8.493323214760423</v>
      </c>
      <c r="W26" s="135">
        <v>0</v>
      </c>
      <c r="X26" s="141">
        <v>22.101812906647357</v>
      </c>
    </row>
    <row r="27" spans="3:28" x14ac:dyDescent="0.25">
      <c r="C27" s="57" t="s">
        <v>30</v>
      </c>
      <c r="D27" s="43" t="s">
        <v>29</v>
      </c>
      <c r="E27" s="26"/>
      <c r="F27" s="134">
        <f t="shared" si="0"/>
        <v>5361.2950185985073</v>
      </c>
      <c r="G27" s="135">
        <v>156.2160513968216</v>
      </c>
      <c r="H27" s="135">
        <v>42.954820307735297</v>
      </c>
      <c r="I27" s="135">
        <v>38.070328982218108</v>
      </c>
      <c r="J27" s="135">
        <v>0</v>
      </c>
      <c r="K27" s="135">
        <v>834.78381182331464</v>
      </c>
      <c r="L27" s="135">
        <v>0</v>
      </c>
      <c r="M27" s="135">
        <v>163.24484055888553</v>
      </c>
      <c r="N27" s="135">
        <v>539.76687914571573</v>
      </c>
      <c r="O27" s="135">
        <v>32.262181744241971</v>
      </c>
      <c r="P27" s="135">
        <v>92.979374792211431</v>
      </c>
      <c r="Q27" s="135">
        <v>593.88634456976911</v>
      </c>
      <c r="R27" s="135">
        <v>1618.9017173581631</v>
      </c>
      <c r="S27" s="135">
        <v>2.7630128933717337</v>
      </c>
      <c r="T27" s="135">
        <v>446.86606301914713</v>
      </c>
      <c r="U27" s="135">
        <v>387.02537305238121</v>
      </c>
      <c r="V27" s="135">
        <v>213.16688041884726</v>
      </c>
      <c r="W27" s="135">
        <v>0</v>
      </c>
      <c r="X27" s="141">
        <v>198.40733853568341</v>
      </c>
    </row>
    <row r="28" spans="3:28" x14ac:dyDescent="0.25">
      <c r="C28" s="57" t="s">
        <v>31</v>
      </c>
      <c r="D28" s="43" t="s">
        <v>29</v>
      </c>
      <c r="E28" s="26"/>
      <c r="F28" s="134">
        <f t="shared" si="0"/>
        <v>5714.3574465467573</v>
      </c>
      <c r="G28" s="135">
        <v>149.6413054098926</v>
      </c>
      <c r="H28" s="135">
        <v>50.550166576110762</v>
      </c>
      <c r="I28" s="135">
        <v>22.640497437757269</v>
      </c>
      <c r="J28" s="135">
        <v>0</v>
      </c>
      <c r="K28" s="135">
        <v>789.04288431182931</v>
      </c>
      <c r="L28" s="135">
        <v>0</v>
      </c>
      <c r="M28" s="135">
        <v>176.05127028579179</v>
      </c>
      <c r="N28" s="135">
        <v>565.28520545645631</v>
      </c>
      <c r="O28" s="135">
        <v>67.806425927743732</v>
      </c>
      <c r="P28" s="135">
        <v>114.87790538867392</v>
      </c>
      <c r="Q28" s="135">
        <v>489.01453046652784</v>
      </c>
      <c r="R28" s="135">
        <v>1829.9702234609629</v>
      </c>
      <c r="S28" s="135">
        <v>1.8904762987196446</v>
      </c>
      <c r="T28" s="135">
        <v>309.84960144366676</v>
      </c>
      <c r="U28" s="135">
        <v>582.87940956188595</v>
      </c>
      <c r="V28" s="135">
        <v>201.3986409538056</v>
      </c>
      <c r="W28" s="135">
        <v>0</v>
      </c>
      <c r="X28" s="141">
        <v>363.45890356693292</v>
      </c>
    </row>
    <row r="29" spans="3:28" x14ac:dyDescent="0.25">
      <c r="C29" s="57" t="s">
        <v>32</v>
      </c>
      <c r="D29" s="43" t="s">
        <v>29</v>
      </c>
      <c r="E29" s="26"/>
      <c r="F29" s="134">
        <f t="shared" si="0"/>
        <v>1485.0962723736195</v>
      </c>
      <c r="G29" s="135">
        <v>267.28666987482353</v>
      </c>
      <c r="H29" s="135">
        <v>13.12235726088203</v>
      </c>
      <c r="I29" s="135">
        <v>57.023945034017338</v>
      </c>
      <c r="J29" s="135">
        <v>0</v>
      </c>
      <c r="K29" s="135">
        <v>388.66375199232021</v>
      </c>
      <c r="L29" s="135">
        <v>0</v>
      </c>
      <c r="M29" s="135">
        <v>0</v>
      </c>
      <c r="N29" s="135">
        <v>99.414848991075999</v>
      </c>
      <c r="O29" s="135">
        <v>15.70940077454199</v>
      </c>
      <c r="P29" s="135">
        <v>41.640175702607657</v>
      </c>
      <c r="Q29" s="135">
        <v>44.202095088744457</v>
      </c>
      <c r="R29" s="135">
        <v>212.50882155451689</v>
      </c>
      <c r="S29" s="135">
        <v>0.30621743368079923</v>
      </c>
      <c r="T29" s="135">
        <v>54.062651846418078</v>
      </c>
      <c r="U29" s="135">
        <v>219.44910834891968</v>
      </c>
      <c r="V29" s="135">
        <v>7.4368721558529103</v>
      </c>
      <c r="W29" s="135">
        <v>0</v>
      </c>
      <c r="X29" s="141">
        <v>64.26935631521782</v>
      </c>
    </row>
    <row r="30" spans="3:28" x14ac:dyDescent="0.25">
      <c r="C30" s="57" t="s">
        <v>33</v>
      </c>
      <c r="D30" s="43" t="s">
        <v>29</v>
      </c>
      <c r="E30" s="26"/>
      <c r="F30" s="134">
        <f t="shared" si="0"/>
        <v>7533.3116221451328</v>
      </c>
      <c r="G30" s="135">
        <v>146.09713018082817</v>
      </c>
      <c r="H30" s="135">
        <v>53.546406020792908</v>
      </c>
      <c r="I30" s="135">
        <v>300.71526108887036</v>
      </c>
      <c r="J30" s="135">
        <v>0</v>
      </c>
      <c r="K30" s="135">
        <v>1227.7824151955547</v>
      </c>
      <c r="L30" s="135">
        <v>0</v>
      </c>
      <c r="M30" s="135">
        <v>162.36387923341914</v>
      </c>
      <c r="N30" s="135">
        <v>761.3221333622746</v>
      </c>
      <c r="O30" s="135">
        <v>185.23493925265598</v>
      </c>
      <c r="P30" s="135">
        <v>104.80910487932438</v>
      </c>
      <c r="Q30" s="135">
        <v>425.9989918985363</v>
      </c>
      <c r="R30" s="135">
        <v>2393.4342696443059</v>
      </c>
      <c r="S30" s="135">
        <v>231.12916753096246</v>
      </c>
      <c r="T30" s="135">
        <v>639.90099264922583</v>
      </c>
      <c r="U30" s="135">
        <v>547.70874611268641</v>
      </c>
      <c r="V30" s="135">
        <v>101.23448010496821</v>
      </c>
      <c r="W30" s="135">
        <v>0</v>
      </c>
      <c r="X30" s="141">
        <v>252.03370499072736</v>
      </c>
    </row>
    <row r="31" spans="3:28" x14ac:dyDescent="0.25">
      <c r="C31" s="57" t="s">
        <v>34</v>
      </c>
      <c r="D31" s="43" t="s">
        <v>29</v>
      </c>
      <c r="E31" s="26"/>
      <c r="F31" s="134">
        <f t="shared" si="0"/>
        <v>6935.9564556278729</v>
      </c>
      <c r="G31" s="135">
        <v>197.02915644273565</v>
      </c>
      <c r="H31" s="135">
        <v>58.027554120469631</v>
      </c>
      <c r="I31" s="135">
        <v>109.84054454994724</v>
      </c>
      <c r="J31" s="135">
        <v>0</v>
      </c>
      <c r="K31" s="135">
        <v>1015.8590169563481</v>
      </c>
      <c r="L31" s="135">
        <v>0</v>
      </c>
      <c r="M31" s="135">
        <v>174.82232239043319</v>
      </c>
      <c r="N31" s="135">
        <v>629.99762200359248</v>
      </c>
      <c r="O31" s="135">
        <v>56.060710970820992</v>
      </c>
      <c r="P31" s="135">
        <v>205.28486414466616</v>
      </c>
      <c r="Q31" s="135">
        <v>127.69630663988666</v>
      </c>
      <c r="R31" s="135">
        <v>2788.1059321680141</v>
      </c>
      <c r="S31" s="135">
        <v>2.6230475360955725</v>
      </c>
      <c r="T31" s="135">
        <v>434.97489045226962</v>
      </c>
      <c r="U31" s="135">
        <v>599.8846923123109</v>
      </c>
      <c r="V31" s="135">
        <v>66.340542065913823</v>
      </c>
      <c r="W31" s="135">
        <v>74.197298168122614</v>
      </c>
      <c r="X31" s="141">
        <v>395.21195470624644</v>
      </c>
    </row>
    <row r="32" spans="3:28" x14ac:dyDescent="0.25">
      <c r="C32" s="57" t="s">
        <v>35</v>
      </c>
      <c r="D32" s="43" t="s">
        <v>29</v>
      </c>
      <c r="E32" s="26"/>
      <c r="F32" s="134">
        <f t="shared" si="0"/>
        <v>4538.3129497115178</v>
      </c>
      <c r="G32" s="135">
        <v>207.28927152014347</v>
      </c>
      <c r="H32" s="135">
        <v>121.34804948215421</v>
      </c>
      <c r="I32" s="135">
        <v>736.3263945871588</v>
      </c>
      <c r="J32" s="135">
        <v>0</v>
      </c>
      <c r="K32" s="135">
        <v>1169.2354087487806</v>
      </c>
      <c r="L32" s="135">
        <v>0</v>
      </c>
      <c r="M32" s="135">
        <v>0</v>
      </c>
      <c r="N32" s="135">
        <v>59.644212808539251</v>
      </c>
      <c r="O32" s="135">
        <v>77.990566687368229</v>
      </c>
      <c r="P32" s="135">
        <v>132.911491207018</v>
      </c>
      <c r="Q32" s="135">
        <v>144.17575338209477</v>
      </c>
      <c r="R32" s="135">
        <v>1010.8225216083398</v>
      </c>
      <c r="S32" s="135">
        <v>1.3083235573440666</v>
      </c>
      <c r="T32" s="135">
        <v>295.01013694851804</v>
      </c>
      <c r="U32" s="135">
        <v>302.57008728501046</v>
      </c>
      <c r="V32" s="135">
        <v>31.525089011646934</v>
      </c>
      <c r="W32" s="135">
        <v>0</v>
      </c>
      <c r="X32" s="141">
        <v>248.15564287740204</v>
      </c>
    </row>
    <row r="33" spans="3:30" x14ac:dyDescent="0.25">
      <c r="C33" s="57" t="s">
        <v>36</v>
      </c>
      <c r="D33" s="43" t="s">
        <v>29</v>
      </c>
      <c r="E33" s="26"/>
      <c r="F33" s="134">
        <f t="shared" si="0"/>
        <v>10021.164350120544</v>
      </c>
      <c r="G33" s="135">
        <v>215.64113580242022</v>
      </c>
      <c r="H33" s="135">
        <v>217.94527770311606</v>
      </c>
      <c r="I33" s="135">
        <v>538.89960222530794</v>
      </c>
      <c r="J33" s="135">
        <v>0</v>
      </c>
      <c r="K33" s="135">
        <v>1521.0150918407942</v>
      </c>
      <c r="L33" s="135">
        <v>0</v>
      </c>
      <c r="M33" s="135">
        <v>250.47145481672311</v>
      </c>
      <c r="N33" s="135">
        <v>1200.3624267043274</v>
      </c>
      <c r="O33" s="135">
        <v>127.17381128893894</v>
      </c>
      <c r="P33" s="135">
        <v>418.59351933723264</v>
      </c>
      <c r="Q33" s="135">
        <v>805.24365095819098</v>
      </c>
      <c r="R33" s="135">
        <v>2891.8746672045827</v>
      </c>
      <c r="S33" s="135">
        <v>3.5538208811272098</v>
      </c>
      <c r="T33" s="135">
        <v>597.65636191759336</v>
      </c>
      <c r="U33" s="135">
        <v>726.91975972577211</v>
      </c>
      <c r="V33" s="135">
        <v>236.72451357057571</v>
      </c>
      <c r="W33" s="135">
        <v>0</v>
      </c>
      <c r="X33" s="141">
        <v>269.08925614383918</v>
      </c>
    </row>
    <row r="34" spans="3:30" x14ac:dyDescent="0.25">
      <c r="C34" s="57" t="s">
        <v>37</v>
      </c>
      <c r="D34" s="43" t="s">
        <v>29</v>
      </c>
      <c r="E34" s="26"/>
      <c r="F34" s="134">
        <f t="shared" si="0"/>
        <v>945.62431005165922</v>
      </c>
      <c r="G34" s="135">
        <v>0</v>
      </c>
      <c r="H34" s="135">
        <v>0</v>
      </c>
      <c r="I34" s="135">
        <v>0</v>
      </c>
      <c r="J34" s="135">
        <v>0</v>
      </c>
      <c r="K34" s="135">
        <v>86.921574214960046</v>
      </c>
      <c r="L34" s="135">
        <v>0</v>
      </c>
      <c r="M34" s="135">
        <v>7.6275490833328332</v>
      </c>
      <c r="N34" s="135">
        <v>0</v>
      </c>
      <c r="O34" s="135">
        <v>0</v>
      </c>
      <c r="P34" s="135">
        <v>20.530005261031338</v>
      </c>
      <c r="Q34" s="135">
        <v>165.6721006192019</v>
      </c>
      <c r="R34" s="135">
        <v>654.67415811142064</v>
      </c>
      <c r="S34" s="135">
        <v>0</v>
      </c>
      <c r="T34" s="135">
        <v>0</v>
      </c>
      <c r="U34" s="135">
        <v>0</v>
      </c>
      <c r="V34" s="135">
        <v>0</v>
      </c>
      <c r="W34" s="135">
        <v>0</v>
      </c>
      <c r="X34" s="141">
        <v>10.198922761712586</v>
      </c>
    </row>
    <row r="35" spans="3:30" x14ac:dyDescent="0.25">
      <c r="C35" s="57" t="s">
        <v>38</v>
      </c>
      <c r="D35" s="43" t="s">
        <v>29</v>
      </c>
      <c r="E35" s="26"/>
      <c r="F35" s="134">
        <f t="shared" si="0"/>
        <v>1199.9555705604023</v>
      </c>
      <c r="G35" s="135">
        <v>185.78986876215009</v>
      </c>
      <c r="H35" s="135">
        <v>1.408306970840697</v>
      </c>
      <c r="I35" s="135">
        <v>5.8152024718943381E-2</v>
      </c>
      <c r="J35" s="135">
        <v>0</v>
      </c>
      <c r="K35" s="135">
        <v>91.595193826195015</v>
      </c>
      <c r="L35" s="135">
        <v>0</v>
      </c>
      <c r="M35" s="135">
        <v>0</v>
      </c>
      <c r="N35" s="135">
        <v>59.534276983167622</v>
      </c>
      <c r="O35" s="135">
        <v>18.707842747587815</v>
      </c>
      <c r="P35" s="135">
        <v>39.493795602942946</v>
      </c>
      <c r="Q35" s="135">
        <v>127.44479142362439</v>
      </c>
      <c r="R35" s="135">
        <v>360.58378760864173</v>
      </c>
      <c r="S35" s="135">
        <v>0.26463332184950994</v>
      </c>
      <c r="T35" s="135">
        <v>49.588321077476039</v>
      </c>
      <c r="U35" s="135">
        <v>176.68578019721235</v>
      </c>
      <c r="V35" s="135">
        <v>6.4657698326726596</v>
      </c>
      <c r="W35" s="135">
        <v>0</v>
      </c>
      <c r="X35" s="141">
        <v>82.3350501813226</v>
      </c>
    </row>
    <row r="36" spans="3:30" x14ac:dyDescent="0.25">
      <c r="C36" s="57" t="s">
        <v>39</v>
      </c>
      <c r="D36" s="43" t="s">
        <v>29</v>
      </c>
      <c r="E36" s="26"/>
      <c r="F36" s="134">
        <f t="shared" si="0"/>
        <v>5443.3172731511149</v>
      </c>
      <c r="G36" s="135">
        <v>140.29426826585623</v>
      </c>
      <c r="H36" s="135">
        <v>35.978161368047786</v>
      </c>
      <c r="I36" s="135">
        <v>123.69245878073313</v>
      </c>
      <c r="J36" s="135">
        <v>0</v>
      </c>
      <c r="K36" s="135">
        <v>842.18224660938472</v>
      </c>
      <c r="L36" s="135">
        <v>0</v>
      </c>
      <c r="M36" s="135">
        <v>0</v>
      </c>
      <c r="N36" s="135">
        <v>285.42786601802226</v>
      </c>
      <c r="O36" s="135">
        <v>96.576335358955745</v>
      </c>
      <c r="P36" s="135">
        <v>142.44337235373015</v>
      </c>
      <c r="Q36" s="135">
        <v>805.29541333341911</v>
      </c>
      <c r="R36" s="135">
        <v>1722.4590730740449</v>
      </c>
      <c r="S36" s="135">
        <v>1.3912346454527922</v>
      </c>
      <c r="T36" s="135">
        <v>220.23372473330673</v>
      </c>
      <c r="U36" s="135">
        <v>699.40518252525624</v>
      </c>
      <c r="V36" s="135">
        <v>34.145790697365285</v>
      </c>
      <c r="W36" s="135">
        <v>0</v>
      </c>
      <c r="X36" s="141">
        <v>293.79214538753996</v>
      </c>
    </row>
    <row r="37" spans="3:30" x14ac:dyDescent="0.25">
      <c r="C37" s="57" t="s">
        <v>40</v>
      </c>
      <c r="D37" s="43" t="s">
        <v>29</v>
      </c>
      <c r="E37" s="26"/>
      <c r="F37" s="134">
        <f t="shared" si="0"/>
        <v>1108.9546652350753</v>
      </c>
      <c r="G37" s="135">
        <v>212.68193181075637</v>
      </c>
      <c r="H37" s="135">
        <v>3.6203810963258531</v>
      </c>
      <c r="I37" s="135">
        <v>0.31385040064883007</v>
      </c>
      <c r="J37" s="135">
        <v>0</v>
      </c>
      <c r="K37" s="135">
        <v>83.319748783103961</v>
      </c>
      <c r="L37" s="135">
        <v>0</v>
      </c>
      <c r="M37" s="135">
        <v>0</v>
      </c>
      <c r="N37" s="135">
        <v>37.446463364977959</v>
      </c>
      <c r="O37" s="135">
        <v>8.330498165145352</v>
      </c>
      <c r="P37" s="135">
        <v>13.997405598860947</v>
      </c>
      <c r="Q37" s="135">
        <v>41.80761700428404</v>
      </c>
      <c r="R37" s="135">
        <v>476.10232629096356</v>
      </c>
      <c r="S37" s="135">
        <v>0.22237787512395452</v>
      </c>
      <c r="T37" s="135">
        <v>42.958967427332063</v>
      </c>
      <c r="U37" s="135">
        <v>159.82583880390447</v>
      </c>
      <c r="V37" s="135">
        <v>5.4496332668963126</v>
      </c>
      <c r="W37" s="135">
        <v>0</v>
      </c>
      <c r="X37" s="141">
        <v>22.877625346751575</v>
      </c>
    </row>
    <row r="38" spans="3:30" x14ac:dyDescent="0.25">
      <c r="C38" s="57" t="s">
        <v>41</v>
      </c>
      <c r="D38" s="43" t="s">
        <v>29</v>
      </c>
      <c r="E38" s="26"/>
      <c r="F38" s="134">
        <f t="shared" si="0"/>
        <v>6361.3179406868976</v>
      </c>
      <c r="G38" s="135">
        <v>266.63482471053726</v>
      </c>
      <c r="H38" s="135">
        <v>51.439356077959864</v>
      </c>
      <c r="I38" s="135">
        <v>114.9149142607</v>
      </c>
      <c r="J38" s="135">
        <v>0</v>
      </c>
      <c r="K38" s="135">
        <v>1053.8963765678004</v>
      </c>
      <c r="L38" s="135">
        <v>0</v>
      </c>
      <c r="M38" s="135">
        <v>0</v>
      </c>
      <c r="N38" s="135">
        <v>237.61299230822382</v>
      </c>
      <c r="O38" s="135">
        <v>71.009466848081146</v>
      </c>
      <c r="P38" s="135">
        <v>106.74544135978952</v>
      </c>
      <c r="Q38" s="135">
        <v>744.54504990674127</v>
      </c>
      <c r="R38" s="135">
        <v>2991.1557146482332</v>
      </c>
      <c r="S38" s="135">
        <v>1.8468286855200573</v>
      </c>
      <c r="T38" s="135">
        <v>257.5639813753686</v>
      </c>
      <c r="U38" s="135">
        <v>349.49832281398773</v>
      </c>
      <c r="V38" s="135">
        <v>53.071833464879006</v>
      </c>
      <c r="W38" s="135">
        <v>0</v>
      </c>
      <c r="X38" s="141">
        <v>61.382837659075101</v>
      </c>
    </row>
    <row r="39" spans="3:30" x14ac:dyDescent="0.25">
      <c r="C39" s="24" t="s">
        <v>42</v>
      </c>
      <c r="D39" s="43" t="s">
        <v>29</v>
      </c>
      <c r="E39" s="26"/>
      <c r="F39" s="121">
        <f t="shared" si="0"/>
        <v>58306.877339477389</v>
      </c>
      <c r="G39" s="121">
        <f>SUM(G26:G38)</f>
        <v>2409.2138153202286</v>
      </c>
      <c r="H39" s="121">
        <f t="shared" ref="H39" si="1">SUM(H26:H38)</f>
        <v>669.56533162777203</v>
      </c>
      <c r="I39" s="121">
        <f t="shared" ref="I39" si="2">SUM(I26:I38)</f>
        <v>2231.4020341435635</v>
      </c>
      <c r="J39" s="121">
        <f t="shared" ref="J39" si="3">SUM(J26:J38)</f>
        <v>0</v>
      </c>
      <c r="K39" s="121">
        <f t="shared" ref="K39" si="4">SUM(K26:K38)</f>
        <v>9415.5271953549</v>
      </c>
      <c r="L39" s="121">
        <f t="shared" ref="L39" si="5">SUM(L26:L38)</f>
        <v>0</v>
      </c>
      <c r="M39" s="121">
        <f t="shared" ref="M39" si="6">SUM(M26:M38)</f>
        <v>934.58131636858559</v>
      </c>
      <c r="N39" s="121">
        <f t="shared" ref="N39" si="7">SUM(N26:N38)</f>
        <v>4525.1139795259342</v>
      </c>
      <c r="O39" s="121">
        <f t="shared" ref="O39" si="8">SUM(O26:O38)</f>
        <v>780.66501477904683</v>
      </c>
      <c r="P39" s="121">
        <f t="shared" ref="P39" si="9">SUM(P26:P38)</f>
        <v>1479.0055259195553</v>
      </c>
      <c r="Q39" s="121">
        <f t="shared" ref="Q39" si="10">SUM(Q26:Q38)</f>
        <v>4659.3899238778404</v>
      </c>
      <c r="R39" s="121">
        <f t="shared" ref="R39" si="11">SUM(R26:R38)</f>
        <v>19326.600159304904</v>
      </c>
      <c r="S39" s="121">
        <f t="shared" ref="S39" si="12">SUM(S26:S38)</f>
        <v>247.65249082533106</v>
      </c>
      <c r="T39" s="121">
        <f t="shared" ref="T39" si="13">SUM(T26:T38)</f>
        <v>3409.0769624936929</v>
      </c>
      <c r="U39" s="121">
        <f t="shared" ref="U39" si="14">SUM(U26:U38)</f>
        <v>4896.1183716306232</v>
      </c>
      <c r="V39" s="121">
        <f t="shared" ref="V39" si="15">SUM(V26:V38)</f>
        <v>965.4533687581843</v>
      </c>
      <c r="W39" s="121">
        <f t="shared" ref="W39" si="16">SUM(W26:W38)</f>
        <v>74.197298168122614</v>
      </c>
      <c r="X39" s="142">
        <f t="shared" ref="X39" si="17">SUM(X26:X38)</f>
        <v>2283.3145513790987</v>
      </c>
      <c r="AD39"/>
    </row>
    <row r="40" spans="3:30" ht="15.5" x14ac:dyDescent="0.35">
      <c r="C40" s="30" t="s">
        <v>53</v>
      </c>
      <c r="D40" s="85"/>
      <c r="E40" s="56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140"/>
    </row>
    <row r="41" spans="3:30" x14ac:dyDescent="0.25">
      <c r="C41" s="57" t="s">
        <v>28</v>
      </c>
      <c r="D41" s="86" t="s">
        <v>29</v>
      </c>
      <c r="E41" s="26"/>
      <c r="F41" s="134">
        <f t="shared" ref="F41:F54" si="18">SUM(G41:Z41)</f>
        <v>2326.2152200998416</v>
      </c>
      <c r="G41" s="113">
        <v>183.04290010099851</v>
      </c>
      <c r="H41" s="113">
        <v>15.1613818968752</v>
      </c>
      <c r="I41" s="113">
        <v>10.086300392210108</v>
      </c>
      <c r="J41" s="113">
        <v>0</v>
      </c>
      <c r="K41" s="113">
        <v>776.98838617137631</v>
      </c>
      <c r="L41" s="113">
        <v>32.137398812998761</v>
      </c>
      <c r="M41" s="113">
        <v>0</v>
      </c>
      <c r="N41" s="113">
        <v>55.244033051291339</v>
      </c>
      <c r="O41" s="113">
        <v>51.405190217920989</v>
      </c>
      <c r="P41" s="113">
        <v>87.688187254338345</v>
      </c>
      <c r="Q41" s="113">
        <v>10.068143772256212</v>
      </c>
      <c r="R41" s="113">
        <v>372.54819376584067</v>
      </c>
      <c r="S41" s="113">
        <v>3.3473648876686699</v>
      </c>
      <c r="T41" s="113">
        <v>578.96180458881588</v>
      </c>
      <c r="U41" s="113">
        <v>65.552836725404006</v>
      </c>
      <c r="V41" s="113">
        <v>0</v>
      </c>
      <c r="W41" s="113">
        <v>1.0375081661778811E-3</v>
      </c>
      <c r="X41" s="143">
        <v>83.982060953680318</v>
      </c>
    </row>
    <row r="42" spans="3:30" x14ac:dyDescent="0.25">
      <c r="C42" s="57" t="s">
        <v>30</v>
      </c>
      <c r="D42" s="43" t="s">
        <v>29</v>
      </c>
      <c r="E42" s="26"/>
      <c r="F42" s="134">
        <f t="shared" si="18"/>
        <v>5477.4042847848223</v>
      </c>
      <c r="G42" s="113">
        <v>302.43535257682106</v>
      </c>
      <c r="H42" s="113">
        <v>15.861673808599731</v>
      </c>
      <c r="I42" s="113">
        <v>11.762958516645332</v>
      </c>
      <c r="J42" s="113">
        <v>0</v>
      </c>
      <c r="K42" s="113">
        <v>967.99646806912233</v>
      </c>
      <c r="L42" s="113">
        <v>254.58704837794224</v>
      </c>
      <c r="M42" s="113">
        <v>45.919184125111968</v>
      </c>
      <c r="N42" s="113">
        <v>685.2452080351876</v>
      </c>
      <c r="O42" s="113">
        <v>58.774464428415548</v>
      </c>
      <c r="P42" s="113">
        <v>232.19293271080127</v>
      </c>
      <c r="Q42" s="113">
        <v>493.15098884824613</v>
      </c>
      <c r="R42" s="113">
        <v>965.56362541683779</v>
      </c>
      <c r="S42" s="113">
        <v>7.810519530138885</v>
      </c>
      <c r="T42" s="113">
        <v>604.94883028115908</v>
      </c>
      <c r="U42" s="113">
        <v>385.14762382284522</v>
      </c>
      <c r="V42" s="113">
        <v>139.89444675936357</v>
      </c>
      <c r="W42" s="113">
        <v>3.8464822405459434E-3</v>
      </c>
      <c r="X42" s="143">
        <v>306.10911299534354</v>
      </c>
    </row>
    <row r="43" spans="3:30" x14ac:dyDescent="0.25">
      <c r="C43" s="57" t="s">
        <v>31</v>
      </c>
      <c r="D43" s="43" t="s">
        <v>29</v>
      </c>
      <c r="E43" s="26"/>
      <c r="F43" s="134">
        <f t="shared" si="18"/>
        <v>5693.6233701449619</v>
      </c>
      <c r="G43" s="113">
        <v>363.61480199713492</v>
      </c>
      <c r="H43" s="113">
        <v>25.770818669049223</v>
      </c>
      <c r="I43" s="113">
        <v>145.11918613947407</v>
      </c>
      <c r="J43" s="113">
        <v>0</v>
      </c>
      <c r="K43" s="113">
        <v>953.9709707919144</v>
      </c>
      <c r="L43" s="113">
        <v>345.47756978006913</v>
      </c>
      <c r="M43" s="113">
        <v>45.919184125111968</v>
      </c>
      <c r="N43" s="113">
        <v>509.38570236958083</v>
      </c>
      <c r="O43" s="113">
        <v>52.001266076941683</v>
      </c>
      <c r="P43" s="113">
        <v>173.33944611078888</v>
      </c>
      <c r="Q43" s="113">
        <v>69.920851315870635</v>
      </c>
      <c r="R43" s="113">
        <v>1575.663535536014</v>
      </c>
      <c r="S43" s="113">
        <v>8.3684111249876754</v>
      </c>
      <c r="T43" s="113">
        <v>451.59402093685185</v>
      </c>
      <c r="U43" s="113">
        <v>469.66414963318999</v>
      </c>
      <c r="V43" s="113">
        <v>139.89444675936357</v>
      </c>
      <c r="W43" s="113">
        <v>3.8102374137799042E-3</v>
      </c>
      <c r="X43" s="143">
        <v>363.91519854120554</v>
      </c>
    </row>
    <row r="44" spans="3:30" x14ac:dyDescent="0.25">
      <c r="C44" s="57" t="s">
        <v>32</v>
      </c>
      <c r="D44" s="43" t="s">
        <v>29</v>
      </c>
      <c r="E44" s="26"/>
      <c r="F44" s="134">
        <f t="shared" si="18"/>
        <v>2887.7870552571339</v>
      </c>
      <c r="G44" s="113">
        <v>241.1300894500304</v>
      </c>
      <c r="H44" s="113">
        <v>7.5281575640579685</v>
      </c>
      <c r="I44" s="113">
        <v>274.18857526934084</v>
      </c>
      <c r="J44" s="113">
        <v>0</v>
      </c>
      <c r="K44" s="113">
        <v>768.49307439300833</v>
      </c>
      <c r="L44" s="113">
        <v>194.64702165895625</v>
      </c>
      <c r="M44" s="113">
        <v>0</v>
      </c>
      <c r="N44" s="113">
        <v>108.75312480429926</v>
      </c>
      <c r="O44" s="113">
        <v>21.630769224254824</v>
      </c>
      <c r="P44" s="113">
        <v>55.172121391686531</v>
      </c>
      <c r="Q44" s="113">
        <v>43.155523132356507</v>
      </c>
      <c r="R44" s="113">
        <v>324.16535678634591</v>
      </c>
      <c r="S44" s="113">
        <v>2.7894776695558736</v>
      </c>
      <c r="T44" s="113">
        <v>529.29379775874588</v>
      </c>
      <c r="U44" s="113">
        <v>187.30384225220641</v>
      </c>
      <c r="V44" s="113">
        <v>0</v>
      </c>
      <c r="W44" s="113">
        <v>1.1145284230557149E-3</v>
      </c>
      <c r="X44" s="143">
        <v>129.53500937386593</v>
      </c>
    </row>
    <row r="45" spans="3:30" x14ac:dyDescent="0.25">
      <c r="C45" s="57" t="s">
        <v>33</v>
      </c>
      <c r="D45" s="43" t="s">
        <v>29</v>
      </c>
      <c r="E45" s="26"/>
      <c r="F45" s="134">
        <f t="shared" si="18"/>
        <v>7658.7991111700894</v>
      </c>
      <c r="G45" s="113">
        <v>428.11399400422385</v>
      </c>
      <c r="H45" s="113">
        <v>60.750542321541765</v>
      </c>
      <c r="I45" s="113">
        <v>28.476836469800265</v>
      </c>
      <c r="J45" s="113">
        <v>0</v>
      </c>
      <c r="K45" s="113">
        <v>1443.2956684059232</v>
      </c>
      <c r="L45" s="113">
        <v>214.44559900644774</v>
      </c>
      <c r="M45" s="113">
        <v>45.943852328829237</v>
      </c>
      <c r="N45" s="113">
        <v>1058.5599968185757</v>
      </c>
      <c r="O45" s="113">
        <v>200.63828837675123</v>
      </c>
      <c r="P45" s="113">
        <v>244.07617425198239</v>
      </c>
      <c r="Q45" s="113">
        <v>428.48181835703986</v>
      </c>
      <c r="R45" s="113">
        <v>1806.4186715186304</v>
      </c>
      <c r="S45" s="113">
        <v>2.7894776695558736</v>
      </c>
      <c r="T45" s="113">
        <v>639.90746609273288</v>
      </c>
      <c r="U45" s="113">
        <v>610.7608543477711</v>
      </c>
      <c r="V45" s="113">
        <v>0</v>
      </c>
      <c r="W45" s="113">
        <v>5.4865606517092306E-3</v>
      </c>
      <c r="X45" s="143">
        <v>446.13438463963286</v>
      </c>
    </row>
    <row r="46" spans="3:30" x14ac:dyDescent="0.25">
      <c r="C46" s="57" t="s">
        <v>34</v>
      </c>
      <c r="D46" s="43" t="s">
        <v>29</v>
      </c>
      <c r="E46" s="26"/>
      <c r="F46" s="134">
        <f t="shared" si="18"/>
        <v>5426.1156196617994</v>
      </c>
      <c r="G46" s="113">
        <v>427.16647992206316</v>
      </c>
      <c r="H46" s="113">
        <v>53.677584473425746</v>
      </c>
      <c r="I46" s="113">
        <v>298.17381040936624</v>
      </c>
      <c r="J46" s="113">
        <v>0</v>
      </c>
      <c r="K46" s="113">
        <v>491.19443146334623</v>
      </c>
      <c r="L46" s="113">
        <v>371.23346762013108</v>
      </c>
      <c r="M46" s="113">
        <v>35.447774669191155</v>
      </c>
      <c r="N46" s="113">
        <v>404.70364781625932</v>
      </c>
      <c r="O46" s="113">
        <v>68.617531969406244</v>
      </c>
      <c r="P46" s="113">
        <v>269.57631391892824</v>
      </c>
      <c r="Q46" s="113">
        <v>174.55449497582751</v>
      </c>
      <c r="R46" s="113">
        <v>1214.2649569627201</v>
      </c>
      <c r="S46" s="113">
        <v>5.9359948429055516</v>
      </c>
      <c r="T46" s="113">
        <v>1053.9151725042864</v>
      </c>
      <c r="U46" s="113">
        <v>10.949812678310721</v>
      </c>
      <c r="V46" s="113">
        <v>0</v>
      </c>
      <c r="W46" s="113">
        <v>3.4328317059674744</v>
      </c>
      <c r="X46" s="143">
        <v>543.27131372966528</v>
      </c>
    </row>
    <row r="47" spans="3:30" x14ac:dyDescent="0.25">
      <c r="C47" s="57" t="s">
        <v>35</v>
      </c>
      <c r="D47" s="43" t="s">
        <v>29</v>
      </c>
      <c r="E47" s="26"/>
      <c r="F47" s="134">
        <f t="shared" si="18"/>
        <v>5234.0829505629818</v>
      </c>
      <c r="G47" s="113">
        <v>556.61938299890778</v>
      </c>
      <c r="H47" s="113">
        <v>150.3883059551209</v>
      </c>
      <c r="I47" s="113">
        <v>520.48119516392921</v>
      </c>
      <c r="J47" s="113">
        <v>15.738527698170499</v>
      </c>
      <c r="K47" s="113">
        <v>1456.5558697514714</v>
      </c>
      <c r="L47" s="113">
        <v>75.093158314121766</v>
      </c>
      <c r="M47" s="113">
        <v>0</v>
      </c>
      <c r="N47" s="113">
        <v>18.994470808379646</v>
      </c>
      <c r="O47" s="113">
        <v>95.116248094181501</v>
      </c>
      <c r="P47" s="113">
        <v>64.833435950598982</v>
      </c>
      <c r="Q47" s="113">
        <v>55.107808432171502</v>
      </c>
      <c r="R47" s="113">
        <v>795.35298254428824</v>
      </c>
      <c r="S47" s="113">
        <v>0</v>
      </c>
      <c r="T47" s="113">
        <v>1131.3823671610814</v>
      </c>
      <c r="U47" s="113">
        <v>1.5754205236139436</v>
      </c>
      <c r="V47" s="113">
        <v>0</v>
      </c>
      <c r="W47" s="113">
        <v>4.480766708951635E-3</v>
      </c>
      <c r="X47" s="143">
        <v>296.83929640023638</v>
      </c>
    </row>
    <row r="48" spans="3:30" x14ac:dyDescent="0.25">
      <c r="C48" s="57" t="s">
        <v>36</v>
      </c>
      <c r="D48" s="43" t="s">
        <v>29</v>
      </c>
      <c r="E48" s="26"/>
      <c r="F48" s="134">
        <f t="shared" si="18"/>
        <v>10709.932933906954</v>
      </c>
      <c r="G48" s="113">
        <v>428.69596566497438</v>
      </c>
      <c r="H48" s="113">
        <v>83.300073700357729</v>
      </c>
      <c r="I48" s="113">
        <v>374.2620026053753</v>
      </c>
      <c r="J48" s="113">
        <v>0</v>
      </c>
      <c r="K48" s="113">
        <v>1438.3813551887285</v>
      </c>
      <c r="L48" s="113">
        <v>211.61135480228185</v>
      </c>
      <c r="M48" s="113">
        <v>61.225575783506898</v>
      </c>
      <c r="N48" s="113">
        <v>1397.589062178542</v>
      </c>
      <c r="O48" s="113">
        <v>45.916149545724139</v>
      </c>
      <c r="P48" s="113">
        <v>416.4455607664853</v>
      </c>
      <c r="Q48" s="113">
        <v>1632.5138205276137</v>
      </c>
      <c r="R48" s="113">
        <v>2698.1030250337653</v>
      </c>
      <c r="S48" s="113">
        <v>17.294726975032109</v>
      </c>
      <c r="T48" s="113">
        <v>695.50877061117637</v>
      </c>
      <c r="U48" s="113">
        <v>268.83019734598798</v>
      </c>
      <c r="V48" s="113">
        <v>139.89444675936357</v>
      </c>
      <c r="W48" s="113">
        <v>8.3770855863008822E-3</v>
      </c>
      <c r="X48" s="143">
        <v>800.35246933245082</v>
      </c>
    </row>
    <row r="49" spans="3:24" x14ac:dyDescent="0.25">
      <c r="C49" s="57" t="s">
        <v>37</v>
      </c>
      <c r="D49" s="43" t="s">
        <v>29</v>
      </c>
      <c r="E49" s="26"/>
      <c r="F49" s="134">
        <f t="shared" si="18"/>
        <v>594.33456613898875</v>
      </c>
      <c r="G49" s="113">
        <v>0.10052994461122607</v>
      </c>
      <c r="H49" s="113">
        <v>0</v>
      </c>
      <c r="I49" s="113">
        <v>0</v>
      </c>
      <c r="J49" s="113">
        <v>0</v>
      </c>
      <c r="K49" s="113">
        <v>31.071587150252284</v>
      </c>
      <c r="L49" s="113">
        <v>3.1427585707550949E-2</v>
      </c>
      <c r="M49" s="113">
        <v>7.0021419095759381</v>
      </c>
      <c r="N49" s="113">
        <v>2.3927139323178359</v>
      </c>
      <c r="O49" s="113">
        <v>0</v>
      </c>
      <c r="P49" s="113">
        <v>19.762608013629876</v>
      </c>
      <c r="Q49" s="113">
        <v>34.541862136616224</v>
      </c>
      <c r="R49" s="113">
        <v>460.64396998723981</v>
      </c>
      <c r="S49" s="113">
        <v>0</v>
      </c>
      <c r="T49" s="113">
        <v>0.15813967421188918</v>
      </c>
      <c r="U49" s="113">
        <v>0</v>
      </c>
      <c r="V49" s="113">
        <v>0</v>
      </c>
      <c r="W49" s="113">
        <v>2.9308926104023265</v>
      </c>
      <c r="X49" s="143">
        <v>35.698693194423832</v>
      </c>
    </row>
    <row r="50" spans="3:24" x14ac:dyDescent="0.25">
      <c r="C50" s="57" t="s">
        <v>38</v>
      </c>
      <c r="D50" s="43" t="s">
        <v>29</v>
      </c>
      <c r="E50" s="26"/>
      <c r="F50" s="134">
        <f t="shared" si="18"/>
        <v>1146.9503359582855</v>
      </c>
      <c r="G50" s="113">
        <v>61.011105305668934</v>
      </c>
      <c r="H50" s="113">
        <v>2.5910948165509193</v>
      </c>
      <c r="I50" s="113">
        <v>14.121970526018851</v>
      </c>
      <c r="J50" s="113">
        <v>0</v>
      </c>
      <c r="K50" s="113">
        <v>20.730097901605561</v>
      </c>
      <c r="L50" s="113">
        <v>127.64182941338144</v>
      </c>
      <c r="M50" s="113">
        <v>0</v>
      </c>
      <c r="N50" s="113">
        <v>13.359134260254628</v>
      </c>
      <c r="O50" s="113">
        <v>24.252635763892357</v>
      </c>
      <c r="P50" s="113">
        <v>54.832817286198591</v>
      </c>
      <c r="Q50" s="113">
        <v>19.951024008196967</v>
      </c>
      <c r="R50" s="113">
        <v>269.30353294299124</v>
      </c>
      <c r="S50" s="113">
        <v>3.3473648876686699</v>
      </c>
      <c r="T50" s="113">
        <v>398.07277648876112</v>
      </c>
      <c r="U50" s="113">
        <v>15.168392426386038</v>
      </c>
      <c r="V50" s="113">
        <v>0</v>
      </c>
      <c r="W50" s="113">
        <v>5.5273360818210247E-4</v>
      </c>
      <c r="X50" s="143">
        <v>122.56600719710229</v>
      </c>
    </row>
    <row r="51" spans="3:24" x14ac:dyDescent="0.25">
      <c r="C51" s="57" t="s">
        <v>39</v>
      </c>
      <c r="D51" s="43" t="s">
        <v>29</v>
      </c>
      <c r="E51" s="26"/>
      <c r="F51" s="134">
        <f t="shared" si="18"/>
        <v>4918.5333519866863</v>
      </c>
      <c r="G51" s="113">
        <v>247.55952717373222</v>
      </c>
      <c r="H51" s="113">
        <v>56.758907043807092</v>
      </c>
      <c r="I51" s="113">
        <v>455.28496375325096</v>
      </c>
      <c r="J51" s="113">
        <v>0</v>
      </c>
      <c r="K51" s="113">
        <v>383.63790960554292</v>
      </c>
      <c r="L51" s="113">
        <v>349.53835622581357</v>
      </c>
      <c r="M51" s="113">
        <v>0</v>
      </c>
      <c r="N51" s="113">
        <v>252.17854859904719</v>
      </c>
      <c r="O51" s="113">
        <v>98.103140611909382</v>
      </c>
      <c r="P51" s="113">
        <v>224.80417219636183</v>
      </c>
      <c r="Q51" s="113">
        <v>166.67635252416622</v>
      </c>
      <c r="R51" s="113">
        <v>1073.2256929823736</v>
      </c>
      <c r="S51" s="113">
        <v>7.9444152635969978</v>
      </c>
      <c r="T51" s="113">
        <v>653.1407244329788</v>
      </c>
      <c r="U51" s="113">
        <v>393.66651487056487</v>
      </c>
      <c r="V51" s="113">
        <v>0</v>
      </c>
      <c r="W51" s="113">
        <v>2.810469173472161E-3</v>
      </c>
      <c r="X51" s="143">
        <v>556.0113162343672</v>
      </c>
    </row>
    <row r="52" spans="3:24" x14ac:dyDescent="0.25">
      <c r="C52" s="57" t="s">
        <v>40</v>
      </c>
      <c r="D52" s="43" t="s">
        <v>29</v>
      </c>
      <c r="E52" s="26"/>
      <c r="F52" s="134">
        <f t="shared" si="18"/>
        <v>1392.2830413569991</v>
      </c>
      <c r="G52" s="113">
        <v>60.71297065106463</v>
      </c>
      <c r="H52" s="113">
        <v>5.0071101508309157</v>
      </c>
      <c r="I52" s="113">
        <v>1.3147489827014978</v>
      </c>
      <c r="J52" s="113">
        <v>0</v>
      </c>
      <c r="K52" s="113">
        <v>69.688058123470597</v>
      </c>
      <c r="L52" s="113">
        <v>133.69750434324564</v>
      </c>
      <c r="M52" s="113">
        <v>0</v>
      </c>
      <c r="N52" s="113">
        <v>8.7413967913608115</v>
      </c>
      <c r="O52" s="113">
        <v>10.924619385537646</v>
      </c>
      <c r="P52" s="113">
        <v>24.891137767627949</v>
      </c>
      <c r="Q52" s="113">
        <v>4.6522173161271301</v>
      </c>
      <c r="R52" s="113">
        <v>228.87303329403272</v>
      </c>
      <c r="S52" s="113">
        <v>2.7894776695558736</v>
      </c>
      <c r="T52" s="113">
        <v>723.51796718739456</v>
      </c>
      <c r="U52" s="113">
        <v>1.6163823398018933</v>
      </c>
      <c r="V52" s="113">
        <v>0</v>
      </c>
      <c r="W52" s="113">
        <v>4.0322369777218955E-4</v>
      </c>
      <c r="X52" s="143">
        <v>115.8560141305495</v>
      </c>
    </row>
    <row r="53" spans="3:24" x14ac:dyDescent="0.25">
      <c r="C53" s="57" t="s">
        <v>41</v>
      </c>
      <c r="D53" s="43" t="s">
        <v>29</v>
      </c>
      <c r="E53" s="26"/>
      <c r="F53" s="134">
        <f t="shared" si="18"/>
        <v>4681.685571279032</v>
      </c>
      <c r="G53" s="113">
        <v>60.167234930173613</v>
      </c>
      <c r="H53" s="113">
        <v>22.634521418753327</v>
      </c>
      <c r="I53" s="113">
        <v>0</v>
      </c>
      <c r="J53" s="113">
        <v>0</v>
      </c>
      <c r="K53" s="113">
        <v>369.31918210802559</v>
      </c>
      <c r="L53" s="113">
        <v>77.397398426554687</v>
      </c>
      <c r="M53" s="113">
        <v>0</v>
      </c>
      <c r="N53" s="113">
        <v>14.682149658884319</v>
      </c>
      <c r="O53" s="113">
        <v>860.55947232070105</v>
      </c>
      <c r="P53" s="113">
        <v>191.91926700964817</v>
      </c>
      <c r="Q53" s="113">
        <v>1149.5777314889945</v>
      </c>
      <c r="R53" s="113">
        <v>1567.632846031948</v>
      </c>
      <c r="S53" s="113">
        <v>5.6491836196828524</v>
      </c>
      <c r="T53" s="113">
        <v>122.90689171581143</v>
      </c>
      <c r="U53" s="113">
        <v>11.839314697355121</v>
      </c>
      <c r="V53" s="113">
        <v>0</v>
      </c>
      <c r="W53" s="113">
        <v>8.2366368825824779E-3</v>
      </c>
      <c r="X53" s="143">
        <v>227.39214121561744</v>
      </c>
    </row>
    <row r="54" spans="3:24" x14ac:dyDescent="0.25">
      <c r="C54" s="24" t="s">
        <v>42</v>
      </c>
      <c r="D54" s="43" t="s">
        <v>29</v>
      </c>
      <c r="E54" s="26"/>
      <c r="F54" s="121">
        <f t="shared" si="18"/>
        <v>58147.747412308578</v>
      </c>
      <c r="G54" s="121">
        <f>SUM(G41:G53)</f>
        <v>3360.3703347204037</v>
      </c>
      <c r="H54" s="121">
        <f t="shared" ref="H54:X54" si="19">SUM(H41:H53)</f>
        <v>499.43017181897051</v>
      </c>
      <c r="I54" s="121">
        <f t="shared" si="19"/>
        <v>2133.2725482281126</v>
      </c>
      <c r="J54" s="121">
        <f>SUM(J41:J53)</f>
        <v>15.738527698170499</v>
      </c>
      <c r="K54" s="121">
        <f t="shared" si="19"/>
        <v>9171.323059123788</v>
      </c>
      <c r="L54" s="121">
        <f>SUM(L41:L53)</f>
        <v>2387.539134367652</v>
      </c>
      <c r="M54" s="121">
        <f t="shared" si="19"/>
        <v>241.45771294132715</v>
      </c>
      <c r="N54" s="121">
        <f t="shared" si="19"/>
        <v>4529.8291891239805</v>
      </c>
      <c r="O54" s="121">
        <f t="shared" si="19"/>
        <v>1587.9397760156367</v>
      </c>
      <c r="P54" s="121">
        <f>SUM(P41:P53)</f>
        <v>2059.5341746290769</v>
      </c>
      <c r="Q54" s="121">
        <f t="shared" si="19"/>
        <v>4282.3526368354824</v>
      </c>
      <c r="R54" s="121">
        <f t="shared" si="19"/>
        <v>13351.759422803027</v>
      </c>
      <c r="S54" s="121">
        <f>SUM(S41:S53)</f>
        <v>68.066414140349025</v>
      </c>
      <c r="T54" s="121">
        <f t="shared" si="19"/>
        <v>7583.3087294340085</v>
      </c>
      <c r="U54" s="121">
        <f t="shared" si="19"/>
        <v>2422.075341663437</v>
      </c>
      <c r="V54" s="121">
        <f t="shared" si="19"/>
        <v>419.68334027809072</v>
      </c>
      <c r="W54" s="121">
        <f>SUM(W41:W53)</f>
        <v>6.4038805489223298</v>
      </c>
      <c r="X54" s="142">
        <f t="shared" si="19"/>
        <v>4027.6630179381409</v>
      </c>
    </row>
    <row r="55" spans="3:24" ht="15.5" x14ac:dyDescent="0.35">
      <c r="C55" s="30" t="s">
        <v>54</v>
      </c>
      <c r="D55" s="85"/>
      <c r="E55" s="56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140"/>
    </row>
    <row r="56" spans="3:24" x14ac:dyDescent="0.25">
      <c r="C56" s="58" t="s">
        <v>28</v>
      </c>
      <c r="D56" s="43" t="s">
        <v>29</v>
      </c>
      <c r="E56" s="26"/>
      <c r="F56" s="114">
        <f t="shared" ref="F56:F69" si="20">SUM(G56:Z56)</f>
        <v>2162.8872665081467</v>
      </c>
      <c r="G56" s="113">
        <v>168.35390098846065</v>
      </c>
      <c r="H56" s="113">
        <v>15.055670982615062</v>
      </c>
      <c r="I56" s="113">
        <v>9.8604116234104158</v>
      </c>
      <c r="J56" s="113">
        <v>0</v>
      </c>
      <c r="K56" s="113">
        <v>755.45443367827693</v>
      </c>
      <c r="L56" s="113">
        <v>32.738981933126013</v>
      </c>
      <c r="M56" s="113">
        <v>0</v>
      </c>
      <c r="N56" s="113">
        <v>54.817794533283006</v>
      </c>
      <c r="O56" s="113">
        <v>63.873240363715382</v>
      </c>
      <c r="P56" s="113">
        <v>91.942196130911626</v>
      </c>
      <c r="Q56" s="113">
        <v>9.9512452475539686</v>
      </c>
      <c r="R56" s="113">
        <v>370.45876319255495</v>
      </c>
      <c r="S56" s="113">
        <v>3.3224601186794072</v>
      </c>
      <c r="T56" s="113">
        <v>428.34302705338388</v>
      </c>
      <c r="U56" s="113">
        <v>64.64040086518861</v>
      </c>
      <c r="V56" s="113">
        <v>0</v>
      </c>
      <c r="W56" s="113">
        <v>1.0302749145895309E-3</v>
      </c>
      <c r="X56" s="143">
        <v>94.073709522072235</v>
      </c>
    </row>
    <row r="57" spans="3:24" x14ac:dyDescent="0.25">
      <c r="C57" s="58" t="s">
        <v>30</v>
      </c>
      <c r="D57" s="43" t="s">
        <v>29</v>
      </c>
      <c r="E57" s="26"/>
      <c r="F57" s="114">
        <f t="shared" si="20"/>
        <v>5376.2265871528989</v>
      </c>
      <c r="G57" s="113">
        <v>278.19676863972558</v>
      </c>
      <c r="H57" s="113">
        <v>15.751098092117601</v>
      </c>
      <c r="I57" s="113">
        <v>11.507527616035141</v>
      </c>
      <c r="J57" s="113">
        <v>0</v>
      </c>
      <c r="K57" s="113">
        <v>941.51366285892027</v>
      </c>
      <c r="L57" s="113">
        <v>282.15092041830928</v>
      </c>
      <c r="M57" s="113">
        <v>45.599053494713644</v>
      </c>
      <c r="N57" s="113">
        <v>681.41374203439125</v>
      </c>
      <c r="O57" s="113">
        <v>73.029829426259624</v>
      </c>
      <c r="P57" s="113">
        <v>243.49432849584525</v>
      </c>
      <c r="Q57" s="113">
        <v>491.60345518083813</v>
      </c>
      <c r="R57" s="113">
        <v>959.88486901912779</v>
      </c>
      <c r="S57" s="113">
        <v>7.7524047689513216</v>
      </c>
      <c r="T57" s="113">
        <v>473.21660790756454</v>
      </c>
      <c r="U57" s="113">
        <v>382.6405853708265</v>
      </c>
      <c r="V57" s="113">
        <v>139.39475018100845</v>
      </c>
      <c r="W57" s="113">
        <v>3.8196655130415366E-3</v>
      </c>
      <c r="X57" s="143">
        <v>349.07316398275157</v>
      </c>
    </row>
    <row r="58" spans="3:24" x14ac:dyDescent="0.25">
      <c r="C58" s="58" t="s">
        <v>31</v>
      </c>
      <c r="D58" s="43" t="s">
        <v>29</v>
      </c>
      <c r="E58" s="26"/>
      <c r="F58" s="114">
        <f t="shared" si="20"/>
        <v>5485.9901252847676</v>
      </c>
      <c r="G58" s="113">
        <v>334.46388201386367</v>
      </c>
      <c r="H58" s="113">
        <v>25.591195781966899</v>
      </c>
      <c r="I58" s="113">
        <v>144.18640492229284</v>
      </c>
      <c r="J58" s="113">
        <v>0</v>
      </c>
      <c r="K58" s="113">
        <v>927.41905461156261</v>
      </c>
      <c r="L58" s="113">
        <v>382.85838198121894</v>
      </c>
      <c r="M58" s="113">
        <v>45.599053494713644</v>
      </c>
      <c r="N58" s="113">
        <v>506.89448862574022</v>
      </c>
      <c r="O58" s="113">
        <v>64.613778757615762</v>
      </c>
      <c r="P58" s="113">
        <v>182.52909401146579</v>
      </c>
      <c r="Q58" s="113">
        <v>69.109005478368999</v>
      </c>
      <c r="R58" s="113">
        <v>1567.1885045071372</v>
      </c>
      <c r="S58" s="113">
        <v>8.3061470347475908</v>
      </c>
      <c r="T58" s="113">
        <v>205.19654095579827</v>
      </c>
      <c r="U58" s="113">
        <v>466.35388374122874</v>
      </c>
      <c r="V58" s="113">
        <v>139.39475018100845</v>
      </c>
      <c r="W58" s="113">
        <v>3.7836733762873168E-3</v>
      </c>
      <c r="X58" s="143">
        <v>416.28217551266175</v>
      </c>
    </row>
    <row r="59" spans="3:24" x14ac:dyDescent="0.25">
      <c r="C59" s="58" t="s">
        <v>32</v>
      </c>
      <c r="D59" s="43" t="s">
        <v>29</v>
      </c>
      <c r="E59" s="26"/>
      <c r="F59" s="114">
        <f t="shared" si="20"/>
        <v>2691.8988687885003</v>
      </c>
      <c r="G59" s="113">
        <v>221.83637281053782</v>
      </c>
      <c r="H59" s="113">
        <v>7.4756853929483462</v>
      </c>
      <c r="I59" s="113">
        <v>272.75637061905547</v>
      </c>
      <c r="J59" s="113">
        <v>0</v>
      </c>
      <c r="K59" s="113">
        <v>748.29907110003637</v>
      </c>
      <c r="L59" s="113">
        <v>207.21220654483301</v>
      </c>
      <c r="M59" s="113">
        <v>0</v>
      </c>
      <c r="N59" s="113">
        <v>108.14713935006691</v>
      </c>
      <c r="O59" s="113">
        <v>26.877136657025517</v>
      </c>
      <c r="P59" s="113">
        <v>58.162492947195936</v>
      </c>
      <c r="Q59" s="113">
        <v>42.654486881323578</v>
      </c>
      <c r="R59" s="113">
        <v>321.15434993190388</v>
      </c>
      <c r="S59" s="113">
        <v>2.7687178528831486</v>
      </c>
      <c r="T59" s="113">
        <v>341.64800115726678</v>
      </c>
      <c r="U59" s="113">
        <v>185.81587650544037</v>
      </c>
      <c r="V59" s="113">
        <v>0</v>
      </c>
      <c r="W59" s="113">
        <v>1.1067582051922471E-3</v>
      </c>
      <c r="X59" s="143">
        <v>147.08985427977831</v>
      </c>
    </row>
    <row r="60" spans="3:24" x14ac:dyDescent="0.25">
      <c r="C60" s="58" t="s">
        <v>33</v>
      </c>
      <c r="D60" s="43" t="s">
        <v>29</v>
      </c>
      <c r="E60" s="26"/>
      <c r="F60" s="114">
        <f t="shared" si="20"/>
        <v>7138.3222415517876</v>
      </c>
      <c r="G60" s="113">
        <v>393.68543581159582</v>
      </c>
      <c r="H60" s="113">
        <v>60.326984127178612</v>
      </c>
      <c r="I60" s="113">
        <v>27.751985248594728</v>
      </c>
      <c r="J60" s="113">
        <v>0</v>
      </c>
      <c r="K60" s="113">
        <v>1404.8194171584944</v>
      </c>
      <c r="L60" s="113">
        <v>227.65740467880789</v>
      </c>
      <c r="M60" s="113">
        <v>45.623527395660936</v>
      </c>
      <c r="N60" s="113">
        <v>1050.9917641940124</v>
      </c>
      <c r="O60" s="113">
        <v>250.48580489912348</v>
      </c>
      <c r="P60" s="113">
        <v>256.59246450734457</v>
      </c>
      <c r="Q60" s="113">
        <v>425.08368217214451</v>
      </c>
      <c r="R60" s="113">
        <v>1796.1552972221866</v>
      </c>
      <c r="S60" s="113">
        <v>2.7687178528831486</v>
      </c>
      <c r="T60" s="113">
        <v>81.744031144293814</v>
      </c>
      <c r="U60" s="113">
        <v>608.03933105273597</v>
      </c>
      <c r="V60" s="113">
        <v>0</v>
      </c>
      <c r="W60" s="113">
        <v>5.4483097011699642E-3</v>
      </c>
      <c r="X60" s="143">
        <v>506.59094577702876</v>
      </c>
    </row>
    <row r="61" spans="3:24" x14ac:dyDescent="0.25">
      <c r="C61" s="58" t="s">
        <v>34</v>
      </c>
      <c r="D61" s="43" t="s">
        <v>29</v>
      </c>
      <c r="E61" s="26"/>
      <c r="F61" s="114">
        <f t="shared" si="20"/>
        <v>5485.7789003492462</v>
      </c>
      <c r="G61" s="113">
        <v>392.84332044416294</v>
      </c>
      <c r="H61" s="113">
        <v>53.303373165668091</v>
      </c>
      <c r="I61" s="113">
        <v>295.97461395869112</v>
      </c>
      <c r="J61" s="113">
        <v>0</v>
      </c>
      <c r="K61" s="113">
        <v>477.69597567927292</v>
      </c>
      <c r="L61" s="113">
        <v>398.49077348393894</v>
      </c>
      <c r="M61" s="113">
        <v>35.200652697601328</v>
      </c>
      <c r="N61" s="113">
        <v>402.26816956006735</v>
      </c>
      <c r="O61" s="113">
        <v>85.260335526401718</v>
      </c>
      <c r="P61" s="113">
        <v>283.00402621930084</v>
      </c>
      <c r="Q61" s="113">
        <v>172.75358797560338</v>
      </c>
      <c r="R61" s="113">
        <v>1205.9658637398591</v>
      </c>
      <c r="S61" s="113">
        <v>5.8918358880120314</v>
      </c>
      <c r="T61" s="113">
        <v>1046.9592382516514</v>
      </c>
      <c r="U61" s="113">
        <v>10.797436135302794</v>
      </c>
      <c r="V61" s="113">
        <v>0</v>
      </c>
      <c r="W61" s="113">
        <v>3.4088988481845788</v>
      </c>
      <c r="X61" s="143">
        <v>615.96079877552859</v>
      </c>
    </row>
    <row r="62" spans="3:24" x14ac:dyDescent="0.25">
      <c r="C62" s="58" t="s">
        <v>35</v>
      </c>
      <c r="D62" s="43" t="s">
        <v>29</v>
      </c>
      <c r="E62" s="26"/>
      <c r="F62" s="114">
        <f t="shared" si="20"/>
        <v>5203.7519887611261</v>
      </c>
      <c r="G62" s="113">
        <v>511.69116499666791</v>
      </c>
      <c r="H62" s="113">
        <v>149.33978173305624</v>
      </c>
      <c r="I62" s="113">
        <v>517.27168005761735</v>
      </c>
      <c r="J62" s="113">
        <v>15.628802556545381</v>
      </c>
      <c r="K62" s="113">
        <v>1416.8423400574411</v>
      </c>
      <c r="L62" s="113">
        <v>75.532245768990336</v>
      </c>
      <c r="M62" s="113">
        <v>0</v>
      </c>
      <c r="N62" s="113">
        <v>18.747689728374915</v>
      </c>
      <c r="O62" s="113">
        <v>118.18615337398353</v>
      </c>
      <c r="P62" s="113">
        <v>70.373224742442417</v>
      </c>
      <c r="Q62" s="113">
        <v>54.467958177097024</v>
      </c>
      <c r="R62" s="113">
        <v>789.45746017531076</v>
      </c>
      <c r="S62" s="113">
        <v>0</v>
      </c>
      <c r="T62" s="113">
        <v>1129.4368391850244</v>
      </c>
      <c r="U62" s="113">
        <v>1.5535120921543633</v>
      </c>
      <c r="V62" s="113">
        <v>0</v>
      </c>
      <c r="W62" s="113">
        <v>4.4495279062403761E-3</v>
      </c>
      <c r="X62" s="143">
        <v>335.21868658851412</v>
      </c>
    </row>
    <row r="63" spans="3:24" x14ac:dyDescent="0.25">
      <c r="C63" s="58" t="s">
        <v>36</v>
      </c>
      <c r="D63" s="43" t="s">
        <v>29</v>
      </c>
      <c r="E63" s="26"/>
      <c r="F63" s="114">
        <f t="shared" si="20"/>
        <v>11273.36412039708</v>
      </c>
      <c r="G63" s="113">
        <v>394.21176839217469</v>
      </c>
      <c r="H63" s="113">
        <v>82.719305358529397</v>
      </c>
      <c r="I63" s="113">
        <v>371.74342360925965</v>
      </c>
      <c r="J63" s="113">
        <v>0</v>
      </c>
      <c r="K63" s="113">
        <v>1399.3347439126169</v>
      </c>
      <c r="L63" s="113">
        <v>229.66784134933269</v>
      </c>
      <c r="M63" s="113">
        <v>60.798737992951558</v>
      </c>
      <c r="N63" s="113">
        <v>1387.9750294433302</v>
      </c>
      <c r="O63" s="113">
        <v>57.052827361677068</v>
      </c>
      <c r="P63" s="113">
        <v>441.48231649946166</v>
      </c>
      <c r="Q63" s="113">
        <v>1623.8039321868325</v>
      </c>
      <c r="R63" s="113">
        <v>2677.6143220449317</v>
      </c>
      <c r="S63" s="113">
        <v>17.166042859193304</v>
      </c>
      <c r="T63" s="113">
        <v>1209.3117939961458</v>
      </c>
      <c r="U63" s="113">
        <v>267.70365960447549</v>
      </c>
      <c r="V63" s="113">
        <v>139.39475018100845</v>
      </c>
      <c r="W63" s="113">
        <v>8.3186826073189633E-3</v>
      </c>
      <c r="X63" s="143">
        <v>913.37530692255064</v>
      </c>
    </row>
    <row r="64" spans="3:24" x14ac:dyDescent="0.25">
      <c r="C64" s="58" t="s">
        <v>37</v>
      </c>
      <c r="D64" s="43" t="s">
        <v>29</v>
      </c>
      <c r="E64" s="26"/>
      <c r="F64" s="114">
        <f t="shared" si="20"/>
        <v>597.50706528765556</v>
      </c>
      <c r="G64" s="113">
        <v>8.293031913121221E-2</v>
      </c>
      <c r="H64" s="113">
        <v>0</v>
      </c>
      <c r="I64" s="113">
        <v>0</v>
      </c>
      <c r="J64" s="113">
        <v>0</v>
      </c>
      <c r="K64" s="113">
        <v>30.023638793308837</v>
      </c>
      <c r="L64" s="113">
        <v>2.8399493096766388E-2</v>
      </c>
      <c r="M64" s="113">
        <v>6.9532945550976786</v>
      </c>
      <c r="N64" s="113">
        <v>2.3951982758329056</v>
      </c>
      <c r="O64" s="113">
        <v>0</v>
      </c>
      <c r="P64" s="113">
        <v>21.304852452134547</v>
      </c>
      <c r="Q64" s="113">
        <v>34.140766212345035</v>
      </c>
      <c r="R64" s="113">
        <v>458.7753216500634</v>
      </c>
      <c r="S64" s="113">
        <v>0</v>
      </c>
      <c r="T64" s="113">
        <v>0.16601745374170465</v>
      </c>
      <c r="U64" s="113">
        <v>0</v>
      </c>
      <c r="V64" s="113">
        <v>0</v>
      </c>
      <c r="W64" s="113">
        <v>2.9104591484590099</v>
      </c>
      <c r="X64" s="143">
        <v>40.726186934444449</v>
      </c>
    </row>
    <row r="65" spans="3:24" x14ac:dyDescent="0.25">
      <c r="C65" s="58" t="s">
        <v>38</v>
      </c>
      <c r="D65" s="43" t="s">
        <v>29</v>
      </c>
      <c r="E65" s="26"/>
      <c r="F65" s="114">
        <f t="shared" si="20"/>
        <v>1138.3919510567637</v>
      </c>
      <c r="G65" s="113">
        <v>56.109438476688474</v>
      </c>
      <c r="H65" s="113">
        <v>2.5730386960383362</v>
      </c>
      <c r="I65" s="113">
        <v>13.871381218307247</v>
      </c>
      <c r="J65" s="113">
        <v>0</v>
      </c>
      <c r="K65" s="113">
        <v>20.164985047682244</v>
      </c>
      <c r="L65" s="113">
        <v>127.63524000911043</v>
      </c>
      <c r="M65" s="113">
        <v>0</v>
      </c>
      <c r="N65" s="113">
        <v>13.230737319151414</v>
      </c>
      <c r="O65" s="113">
        <v>30.134950547169776</v>
      </c>
      <c r="P65" s="113">
        <v>57.726390245355212</v>
      </c>
      <c r="Q65" s="113">
        <v>19.719348895985515</v>
      </c>
      <c r="R65" s="113">
        <v>267.97997485366204</v>
      </c>
      <c r="S65" s="113">
        <v>3.3224601186794072</v>
      </c>
      <c r="T65" s="113">
        <v>371.72310778718185</v>
      </c>
      <c r="U65" s="113">
        <v>14.957323531550424</v>
      </c>
      <c r="V65" s="113">
        <v>0</v>
      </c>
      <c r="W65" s="113">
        <v>5.4888008550184602E-4</v>
      </c>
      <c r="X65" s="143">
        <v>139.24302543011601</v>
      </c>
    </row>
    <row r="66" spans="3:24" x14ac:dyDescent="0.25">
      <c r="C66" s="58" t="s">
        <v>39</v>
      </c>
      <c r="D66" s="43" t="s">
        <v>29</v>
      </c>
      <c r="E66" s="26"/>
      <c r="F66" s="114">
        <f t="shared" si="20"/>
        <v>5138.9248883042255</v>
      </c>
      <c r="G66" s="113">
        <v>227.57334592399576</v>
      </c>
      <c r="H66" s="113">
        <v>56.36322124063846</v>
      </c>
      <c r="I66" s="113">
        <v>452.20545160602063</v>
      </c>
      <c r="J66" s="113">
        <v>0</v>
      </c>
      <c r="K66" s="113">
        <v>372.88652153150133</v>
      </c>
      <c r="L66" s="113">
        <v>371.56910577803666</v>
      </c>
      <c r="M66" s="113">
        <v>0</v>
      </c>
      <c r="N66" s="113">
        <v>250.78050377784939</v>
      </c>
      <c r="O66" s="113">
        <v>121.89732640079238</v>
      </c>
      <c r="P66" s="113">
        <v>235.52673246907099</v>
      </c>
      <c r="Q66" s="113">
        <v>164.74109667783588</v>
      </c>
      <c r="R66" s="113">
        <v>1065.7331166779284</v>
      </c>
      <c r="S66" s="113">
        <v>7.8853092191809049</v>
      </c>
      <c r="T66" s="113">
        <v>792.06262536362829</v>
      </c>
      <c r="U66" s="113">
        <v>390.36642333032785</v>
      </c>
      <c r="V66" s="113">
        <v>0</v>
      </c>
      <c r="W66" s="113">
        <v>2.7908752740931166E-3</v>
      </c>
      <c r="X66" s="143">
        <v>629.33131743214426</v>
      </c>
    </row>
    <row r="67" spans="3:24" x14ac:dyDescent="0.25">
      <c r="C67" s="58" t="s">
        <v>40</v>
      </c>
      <c r="D67" s="43" t="s">
        <v>29</v>
      </c>
      <c r="E67" s="26"/>
      <c r="F67" s="114">
        <f t="shared" si="20"/>
        <v>1421.1489303873557</v>
      </c>
      <c r="G67" s="113">
        <v>55.841224241795636</v>
      </c>
      <c r="H67" s="113">
        <v>4.9721946090003932</v>
      </c>
      <c r="I67" s="113">
        <v>1.2706465727904819</v>
      </c>
      <c r="J67" s="113">
        <v>0</v>
      </c>
      <c r="K67" s="113">
        <v>67.845911636081468</v>
      </c>
      <c r="L67" s="113">
        <v>133.2097703118996</v>
      </c>
      <c r="M67" s="113">
        <v>0</v>
      </c>
      <c r="N67" s="113">
        <v>8.6213414795132959</v>
      </c>
      <c r="O67" s="113">
        <v>13.57426524542236</v>
      </c>
      <c r="P67" s="113">
        <v>26.126660694238002</v>
      </c>
      <c r="Q67" s="113">
        <v>4.5981923522160217</v>
      </c>
      <c r="R67" s="113">
        <v>226.49843045613264</v>
      </c>
      <c r="S67" s="113">
        <v>2.7687178528831486</v>
      </c>
      <c r="T67" s="113">
        <v>743.42758354611487</v>
      </c>
      <c r="U67" s="113">
        <v>1.5939152943663728</v>
      </c>
      <c r="V67" s="113">
        <v>0</v>
      </c>
      <c r="W67" s="113">
        <v>4.0041252139069104E-4</v>
      </c>
      <c r="X67" s="143">
        <v>130.79967568237993</v>
      </c>
    </row>
    <row r="68" spans="3:24" x14ac:dyDescent="0.25">
      <c r="C68" s="58" t="s">
        <v>41</v>
      </c>
      <c r="D68" s="43" t="s">
        <v>29</v>
      </c>
      <c r="E68" s="26"/>
      <c r="F68" s="114">
        <f t="shared" si="20"/>
        <v>4795.6308785740639</v>
      </c>
      <c r="G68" s="113">
        <v>55.348644859287852</v>
      </c>
      <c r="H68" s="113">
        <v>22.476718398509234</v>
      </c>
      <c r="I68" s="113">
        <v>0</v>
      </c>
      <c r="J68" s="113">
        <v>0</v>
      </c>
      <c r="K68" s="113">
        <v>358.30141846387539</v>
      </c>
      <c r="L68" s="113">
        <v>83.554050642744443</v>
      </c>
      <c r="M68" s="113">
        <v>0</v>
      </c>
      <c r="N68" s="113">
        <v>14.455860889244398</v>
      </c>
      <c r="O68" s="113">
        <v>879.95515360871707</v>
      </c>
      <c r="P68" s="113">
        <v>201.06127820696693</v>
      </c>
      <c r="Q68" s="113">
        <v>1140.0675513138528</v>
      </c>
      <c r="R68" s="113">
        <v>1551.5669825020868</v>
      </c>
      <c r="S68" s="113">
        <v>5.6420044929238236</v>
      </c>
      <c r="T68" s="113">
        <v>214.73769083432015</v>
      </c>
      <c r="U68" s="113">
        <v>11.674330634162342</v>
      </c>
      <c r="V68" s="113">
        <v>0</v>
      </c>
      <c r="W68" s="113">
        <v>8.1792130773963613E-3</v>
      </c>
      <c r="X68" s="143">
        <v>256.78101451429438</v>
      </c>
    </row>
    <row r="69" spans="3:24" x14ac:dyDescent="0.25">
      <c r="C69" s="24" t="s">
        <v>42</v>
      </c>
      <c r="D69" s="43" t="s">
        <v>29</v>
      </c>
      <c r="E69" s="26"/>
      <c r="F69" s="121">
        <f t="shared" si="20"/>
        <v>57909.823812403614</v>
      </c>
      <c r="G69" s="121">
        <f>SUM(G56:G68)</f>
        <v>3090.2381979180882</v>
      </c>
      <c r="H69" s="121">
        <f t="shared" ref="H69" si="21">SUM(H56:H68)</f>
        <v>495.94826757826661</v>
      </c>
      <c r="I69" s="121">
        <f t="shared" ref="I69" si="22">SUM(I56:I68)</f>
        <v>2118.3998970520752</v>
      </c>
      <c r="J69" s="121">
        <f t="shared" ref="J69" si="23">SUM(J56:J68)</f>
        <v>15.628802556545381</v>
      </c>
      <c r="K69" s="121">
        <f t="shared" ref="K69" si="24">SUM(K56:K68)</f>
        <v>8920.6011745290725</v>
      </c>
      <c r="L69" s="121">
        <f t="shared" ref="L69" si="25">SUM(L56:L68)</f>
        <v>2552.3053223934453</v>
      </c>
      <c r="M69" s="121">
        <f t="shared" ref="M69" si="26">SUM(M56:M68)</f>
        <v>239.77431963073877</v>
      </c>
      <c r="N69" s="121">
        <f t="shared" ref="N69" si="27">SUM(N56:N68)</f>
        <v>4500.7394592108567</v>
      </c>
      <c r="O69" s="121">
        <f t="shared" ref="O69" si="28">SUM(O56:O68)</f>
        <v>1784.9408021679037</v>
      </c>
      <c r="P69" s="121">
        <f t="shared" ref="P69" si="29">SUM(P56:P68)</f>
        <v>2169.3260576217335</v>
      </c>
      <c r="Q69" s="121">
        <f t="shared" ref="Q69" si="30">SUM(Q56:Q68)</f>
        <v>4252.6943087519976</v>
      </c>
      <c r="R69" s="121">
        <f t="shared" ref="R69" si="31">SUM(R56:R68)</f>
        <v>13258.433255972886</v>
      </c>
      <c r="S69" s="121">
        <f t="shared" ref="S69" si="32">SUM(S56:S68)</f>
        <v>67.594818059017243</v>
      </c>
      <c r="T69" s="121">
        <f t="shared" ref="T69" si="33">SUM(T56:T68)</f>
        <v>7037.9731046361157</v>
      </c>
      <c r="U69" s="121">
        <f t="shared" ref="U69" si="34">SUM(U56:U68)</f>
        <v>2406.1366781577599</v>
      </c>
      <c r="V69" s="121">
        <f t="shared" ref="V69" si="35">SUM(V56:V68)</f>
        <v>418.18425054302531</v>
      </c>
      <c r="W69" s="121">
        <f t="shared" ref="W69" si="36">SUM(W56:W68)</f>
        <v>6.3592342698258104</v>
      </c>
      <c r="X69" s="142">
        <f t="shared" ref="X69" si="37">SUM(X56:X68)</f>
        <v>4574.5458613542651</v>
      </c>
    </row>
    <row r="70" spans="3:24" ht="15.5" x14ac:dyDescent="0.35">
      <c r="C70" s="30" t="s">
        <v>55</v>
      </c>
      <c r="D70" s="85"/>
      <c r="E70" s="56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140"/>
    </row>
    <row r="71" spans="3:24" x14ac:dyDescent="0.25">
      <c r="C71" s="58" t="s">
        <v>28</v>
      </c>
      <c r="D71" s="43" t="s">
        <v>29</v>
      </c>
      <c r="E71" s="26"/>
      <c r="F71" s="114">
        <f t="shared" ref="F71:F84" si="38">SUM(G71:Z71)</f>
        <v>2460.0491868289296</v>
      </c>
      <c r="G71" s="113">
        <v>167.02902633160861</v>
      </c>
      <c r="H71" s="113">
        <v>14.94137967835978</v>
      </c>
      <c r="I71" s="113">
        <v>9.84932420053733</v>
      </c>
      <c r="J71" s="113">
        <v>0</v>
      </c>
      <c r="K71" s="113">
        <v>771.88128582661591</v>
      </c>
      <c r="L71" s="113">
        <v>37.721023558324859</v>
      </c>
      <c r="M71" s="113">
        <v>0</v>
      </c>
      <c r="N71" s="113">
        <v>54.435879075150652</v>
      </c>
      <c r="O71" s="113">
        <v>43.529462492948198</v>
      </c>
      <c r="P71" s="113">
        <v>94.133891103432518</v>
      </c>
      <c r="Q71" s="113">
        <v>9.8296317785965215</v>
      </c>
      <c r="R71" s="113">
        <v>368.22284008000008</v>
      </c>
      <c r="S71" s="113">
        <v>3.2956938479975486</v>
      </c>
      <c r="T71" s="113">
        <v>724.75565980594729</v>
      </c>
      <c r="U71" s="113">
        <v>63.704788419638191</v>
      </c>
      <c r="V71" s="113">
        <v>0</v>
      </c>
      <c r="W71" s="113">
        <v>1.0224547538467067E-3</v>
      </c>
      <c r="X71" s="143">
        <v>96.718278175018852</v>
      </c>
    </row>
    <row r="72" spans="3:24" x14ac:dyDescent="0.25">
      <c r="C72" s="58" t="s">
        <v>30</v>
      </c>
      <c r="D72" s="43" t="s">
        <v>29</v>
      </c>
      <c r="E72" s="26"/>
      <c r="F72" s="114">
        <f t="shared" si="38"/>
        <v>5801.1018302907405</v>
      </c>
      <c r="G72" s="113">
        <v>276.00830198849201</v>
      </c>
      <c r="H72" s="113">
        <v>15.631547155641254</v>
      </c>
      <c r="I72" s="113">
        <v>11.475802962617548</v>
      </c>
      <c r="J72" s="113">
        <v>0</v>
      </c>
      <c r="K72" s="113">
        <v>962.34521372661266</v>
      </c>
      <c r="L72" s="113">
        <v>368.00507823873306</v>
      </c>
      <c r="M72" s="113">
        <v>45.25294122302379</v>
      </c>
      <c r="N72" s="113">
        <v>677.2872944170532</v>
      </c>
      <c r="O72" s="113">
        <v>49.769702554277586</v>
      </c>
      <c r="P72" s="113">
        <v>249.32736324271195</v>
      </c>
      <c r="Q72" s="113">
        <v>489.73821715235715</v>
      </c>
      <c r="R72" s="113">
        <v>953.36854168943387</v>
      </c>
      <c r="S72" s="113">
        <v>7.6899509058837552</v>
      </c>
      <c r="T72" s="113">
        <v>799.94211132410101</v>
      </c>
      <c r="U72" s="113">
        <v>379.92611402057378</v>
      </c>
      <c r="V72" s="113">
        <v>139.46568076979278</v>
      </c>
      <c r="W72" s="113">
        <v>3.7906728646980529E-3</v>
      </c>
      <c r="X72" s="143">
        <v>375.86417824657019</v>
      </c>
    </row>
    <row r="73" spans="3:24" x14ac:dyDescent="0.25">
      <c r="C73" s="58" t="s">
        <v>31</v>
      </c>
      <c r="D73" s="43" t="s">
        <v>29</v>
      </c>
      <c r="E73" s="26"/>
      <c r="F73" s="114">
        <f t="shared" si="38"/>
        <v>5756.1812674287539</v>
      </c>
      <c r="G73" s="113">
        <v>331.84269339821407</v>
      </c>
      <c r="H73" s="113">
        <v>25.396962658189842</v>
      </c>
      <c r="I73" s="113">
        <v>143.21196334775345</v>
      </c>
      <c r="J73" s="113">
        <v>0</v>
      </c>
      <c r="K73" s="113">
        <v>947.47646951972956</v>
      </c>
      <c r="L73" s="113">
        <v>497.14890321507147</v>
      </c>
      <c r="M73" s="113">
        <v>45.25294122302379</v>
      </c>
      <c r="N73" s="113">
        <v>504.13158934815391</v>
      </c>
      <c r="O73" s="113">
        <v>44.03415319961195</v>
      </c>
      <c r="P73" s="113">
        <v>187.48440982744987</v>
      </c>
      <c r="Q73" s="113">
        <v>68.26445428516223</v>
      </c>
      <c r="R73" s="113">
        <v>1557.1075397026232</v>
      </c>
      <c r="S73" s="113">
        <v>8.2392367291596429</v>
      </c>
      <c r="T73" s="113">
        <v>345.85493708942863</v>
      </c>
      <c r="U73" s="113">
        <v>462.79683696788828</v>
      </c>
      <c r="V73" s="113">
        <v>139.46568076979278</v>
      </c>
      <c r="W73" s="113">
        <v>3.7549539213322289E-3</v>
      </c>
      <c r="X73" s="143">
        <v>448.46874119358063</v>
      </c>
    </row>
    <row r="74" spans="3:24" x14ac:dyDescent="0.25">
      <c r="C74" s="58" t="s">
        <v>32</v>
      </c>
      <c r="D74" s="43" t="s">
        <v>29</v>
      </c>
      <c r="E74" s="26"/>
      <c r="F74" s="114">
        <f t="shared" si="38"/>
        <v>2995.4057231518659</v>
      </c>
      <c r="G74" s="113">
        <v>220.05763193180016</v>
      </c>
      <c r="H74" s="113">
        <v>7.4189365288563129</v>
      </c>
      <c r="I74" s="113">
        <v>270.57614437332995</v>
      </c>
      <c r="J74" s="113">
        <v>0</v>
      </c>
      <c r="K74" s="113">
        <v>770.26137888176061</v>
      </c>
      <c r="L74" s="113">
        <v>259.8518846300849</v>
      </c>
      <c r="M74" s="113">
        <v>0</v>
      </c>
      <c r="N74" s="113">
        <v>107.60252386345702</v>
      </c>
      <c r="O74" s="113">
        <v>18.316733869663182</v>
      </c>
      <c r="P74" s="113">
        <v>59.791913030938474</v>
      </c>
      <c r="Q74" s="113">
        <v>42.133173743167887</v>
      </c>
      <c r="R74" s="113">
        <v>317.99039502188322</v>
      </c>
      <c r="S74" s="113">
        <v>2.7464080247216729</v>
      </c>
      <c r="T74" s="113">
        <v>578.07461185652096</v>
      </c>
      <c r="U74" s="113">
        <v>184.23382678086392</v>
      </c>
      <c r="V74" s="113">
        <v>0</v>
      </c>
      <c r="W74" s="113">
        <v>1.0983575084990821E-3</v>
      </c>
      <c r="X74" s="143">
        <v>156.34906225730896</v>
      </c>
    </row>
    <row r="75" spans="3:24" x14ac:dyDescent="0.25">
      <c r="C75" s="58" t="s">
        <v>33</v>
      </c>
      <c r="D75" s="43" t="s">
        <v>29</v>
      </c>
      <c r="E75" s="26"/>
      <c r="F75" s="114">
        <f t="shared" si="38"/>
        <v>7205.1158803189919</v>
      </c>
      <c r="G75" s="113">
        <v>390.71456921662553</v>
      </c>
      <c r="H75" s="113">
        <v>59.869115783151045</v>
      </c>
      <c r="I75" s="113">
        <v>27.922797393321268</v>
      </c>
      <c r="J75" s="113">
        <v>0</v>
      </c>
      <c r="K75" s="113">
        <v>1436.913042065891</v>
      </c>
      <c r="L75" s="113">
        <v>278.05394992771181</v>
      </c>
      <c r="M75" s="113">
        <v>45.277245889825778</v>
      </c>
      <c r="N75" s="113">
        <v>1042.9097825783037</v>
      </c>
      <c r="O75" s="113">
        <v>171.51537741959817</v>
      </c>
      <c r="P75" s="113">
        <v>263.23199043227493</v>
      </c>
      <c r="Q75" s="113">
        <v>421.45161514266471</v>
      </c>
      <c r="R75" s="113">
        <v>1783.5565185703365</v>
      </c>
      <c r="S75" s="113">
        <v>2.7464080247216729</v>
      </c>
      <c r="T75" s="113">
        <v>138.17648149607996</v>
      </c>
      <c r="U75" s="113">
        <v>604.9573186309533</v>
      </c>
      <c r="V75" s="113">
        <v>0</v>
      </c>
      <c r="W75" s="113">
        <v>5.406955052001579E-3</v>
      </c>
      <c r="X75" s="143">
        <v>537.81426079248058</v>
      </c>
    </row>
    <row r="76" spans="3:24" x14ac:dyDescent="0.25">
      <c r="C76" s="58" t="s">
        <v>34</v>
      </c>
      <c r="D76" s="43" t="s">
        <v>29</v>
      </c>
      <c r="E76" s="26"/>
      <c r="F76" s="114">
        <f t="shared" si="38"/>
        <v>4685.8408339028756</v>
      </c>
      <c r="G76" s="113">
        <v>389.84756217220485</v>
      </c>
      <c r="H76" s="113">
        <v>52.898773724903741</v>
      </c>
      <c r="I76" s="113">
        <v>293.70778879027324</v>
      </c>
      <c r="J76" s="113">
        <v>0</v>
      </c>
      <c r="K76" s="113">
        <v>488.20095381825882</v>
      </c>
      <c r="L76" s="113">
        <v>500.62483009286404</v>
      </c>
      <c r="M76" s="113">
        <v>34.933452320805493</v>
      </c>
      <c r="N76" s="113">
        <v>399.44865843220299</v>
      </c>
      <c r="O76" s="113">
        <v>58.104673865159057</v>
      </c>
      <c r="P76" s="113">
        <v>290.02101083874504</v>
      </c>
      <c r="Q76" s="113">
        <v>170.86596343268965</v>
      </c>
      <c r="R76" s="113">
        <v>1196.2059582770794</v>
      </c>
      <c r="S76" s="113">
        <v>5.8443674973696185</v>
      </c>
      <c r="T76" s="113">
        <v>117.48485778959824</v>
      </c>
      <c r="U76" s="113">
        <v>10.641174246498725</v>
      </c>
      <c r="V76" s="113">
        <v>0</v>
      </c>
      <c r="W76" s="113">
        <v>3.3830240679959802</v>
      </c>
      <c r="X76" s="143">
        <v>673.62778453622673</v>
      </c>
    </row>
    <row r="77" spans="3:24" x14ac:dyDescent="0.25">
      <c r="C77" s="58" t="s">
        <v>35</v>
      </c>
      <c r="D77" s="43" t="s">
        <v>29</v>
      </c>
      <c r="E77" s="26"/>
      <c r="F77" s="114">
        <f t="shared" si="38"/>
        <v>4905.6891923181711</v>
      </c>
      <c r="G77" s="113">
        <v>508.00678964591634</v>
      </c>
      <c r="H77" s="113">
        <v>148.20626887856781</v>
      </c>
      <c r="I77" s="113">
        <v>512.84065570210589</v>
      </c>
      <c r="J77" s="113">
        <v>15.510174269590784</v>
      </c>
      <c r="K77" s="113">
        <v>1448.3183617984732</v>
      </c>
      <c r="L77" s="113">
        <v>86.308692628083179</v>
      </c>
      <c r="M77" s="113">
        <v>0</v>
      </c>
      <c r="N77" s="113">
        <v>18.291234548214586</v>
      </c>
      <c r="O77" s="113">
        <v>80.543600824206493</v>
      </c>
      <c r="P77" s="113">
        <v>73.904642437099696</v>
      </c>
      <c r="Q77" s="113">
        <v>53.80225517583186</v>
      </c>
      <c r="R77" s="113">
        <v>783.50141291166904</v>
      </c>
      <c r="S77" s="113">
        <v>0</v>
      </c>
      <c r="T77" s="113">
        <v>822.15145803714188</v>
      </c>
      <c r="U77" s="113">
        <v>1.5310547505645382</v>
      </c>
      <c r="V77" s="113">
        <v>0</v>
      </c>
      <c r="W77" s="113">
        <v>4.4157543735999696E-3</v>
      </c>
      <c r="X77" s="143">
        <v>352.76817495633372</v>
      </c>
    </row>
    <row r="78" spans="3:24" x14ac:dyDescent="0.25">
      <c r="C78" s="58" t="s">
        <v>36</v>
      </c>
      <c r="D78" s="43" t="s">
        <v>29</v>
      </c>
      <c r="E78" s="26"/>
      <c r="F78" s="114">
        <f t="shared" si="38"/>
        <v>11559.393302821043</v>
      </c>
      <c r="G78" s="113">
        <v>391.24633642302291</v>
      </c>
      <c r="H78" s="113">
        <v>82.091439608122059</v>
      </c>
      <c r="I78" s="113">
        <v>369.11159675396146</v>
      </c>
      <c r="J78" s="113">
        <v>0</v>
      </c>
      <c r="K78" s="113">
        <v>1430.5867167875256</v>
      </c>
      <c r="L78" s="113">
        <v>288.7799159167314</v>
      </c>
      <c r="M78" s="113">
        <v>60.337231421552673</v>
      </c>
      <c r="N78" s="113">
        <v>1377.0513187898202</v>
      </c>
      <c r="O78" s="113">
        <v>38.881393345081484</v>
      </c>
      <c r="P78" s="113">
        <v>455.74863312746965</v>
      </c>
      <c r="Q78" s="113">
        <v>1614.1153659935708</v>
      </c>
      <c r="R78" s="113">
        <v>2655.5271166675748</v>
      </c>
      <c r="S78" s="113">
        <v>17.027767718258236</v>
      </c>
      <c r="T78" s="113">
        <v>1389.2986540643578</v>
      </c>
      <c r="U78" s="113">
        <v>266.4164895714037</v>
      </c>
      <c r="V78" s="113">
        <v>139.46568076979278</v>
      </c>
      <c r="W78" s="113">
        <v>8.2555407854260285E-3</v>
      </c>
      <c r="X78" s="143">
        <v>983.69939032201228</v>
      </c>
    </row>
    <row r="79" spans="3:24" x14ac:dyDescent="0.25">
      <c r="C79" s="58" t="s">
        <v>37</v>
      </c>
      <c r="D79" s="43" t="s">
        <v>29</v>
      </c>
      <c r="E79" s="26"/>
      <c r="F79" s="114">
        <f t="shared" si="38"/>
        <v>596.53478415000313</v>
      </c>
      <c r="G79" s="113">
        <v>9.2736583793020189E-2</v>
      </c>
      <c r="H79" s="113">
        <v>0</v>
      </c>
      <c r="I79" s="113">
        <v>0</v>
      </c>
      <c r="J79" s="113">
        <v>0</v>
      </c>
      <c r="K79" s="113">
        <v>30.537147635955332</v>
      </c>
      <c r="L79" s="113">
        <v>3.5580749306055114E-2</v>
      </c>
      <c r="M79" s="113">
        <v>6.9005433893111849</v>
      </c>
      <c r="N79" s="113">
        <v>2.354816422991572</v>
      </c>
      <c r="O79" s="113">
        <v>0</v>
      </c>
      <c r="P79" s="113">
        <v>22.792025184977682</v>
      </c>
      <c r="Q79" s="113">
        <v>33.723553764556158</v>
      </c>
      <c r="R79" s="113">
        <v>455.7245998895151</v>
      </c>
      <c r="S79" s="113">
        <v>0</v>
      </c>
      <c r="T79" s="113">
        <v>0.11690511227359536</v>
      </c>
      <c r="U79" s="113">
        <v>0</v>
      </c>
      <c r="V79" s="113">
        <v>0</v>
      </c>
      <c r="W79" s="113">
        <v>2.8883677065981344</v>
      </c>
      <c r="X79" s="143">
        <v>41.368507710725375</v>
      </c>
    </row>
    <row r="80" spans="3:24" x14ac:dyDescent="0.25">
      <c r="C80" s="58" t="s">
        <v>38</v>
      </c>
      <c r="D80" s="43" t="s">
        <v>29</v>
      </c>
      <c r="E80" s="26"/>
      <c r="F80" s="114">
        <f t="shared" si="38"/>
        <v>1407.8208325241351</v>
      </c>
      <c r="G80" s="113">
        <v>55.680914202948045</v>
      </c>
      <c r="H80" s="113">
        <v>2.5534675470598378</v>
      </c>
      <c r="I80" s="113">
        <v>13.703036975536786</v>
      </c>
      <c r="J80" s="113">
        <v>0</v>
      </c>
      <c r="K80" s="113">
        <v>20.612865799525434</v>
      </c>
      <c r="L80" s="113">
        <v>145.92643090458841</v>
      </c>
      <c r="M80" s="113">
        <v>0</v>
      </c>
      <c r="N80" s="113">
        <v>13.098215910473076</v>
      </c>
      <c r="O80" s="113">
        <v>20.53693506947684</v>
      </c>
      <c r="P80" s="113">
        <v>59.283215875045563</v>
      </c>
      <c r="Q80" s="113">
        <v>19.478342482204795</v>
      </c>
      <c r="R80" s="113">
        <v>266.44801642309494</v>
      </c>
      <c r="S80" s="113">
        <v>3.2956938479975486</v>
      </c>
      <c r="T80" s="113">
        <v>629.53364258813178</v>
      </c>
      <c r="U80" s="113">
        <v>14.740824110131207</v>
      </c>
      <c r="V80" s="113">
        <v>0</v>
      </c>
      <c r="W80" s="113">
        <v>5.4471388632881313E-4</v>
      </c>
      <c r="X80" s="143">
        <v>142.9286860740346</v>
      </c>
    </row>
    <row r="81" spans="1:24" x14ac:dyDescent="0.25">
      <c r="C81" s="58" t="s">
        <v>39</v>
      </c>
      <c r="D81" s="43" t="s">
        <v>29</v>
      </c>
      <c r="E81" s="26"/>
      <c r="F81" s="114">
        <f t="shared" si="38"/>
        <v>5019.5281765509271</v>
      </c>
      <c r="G81" s="113">
        <v>225.93788963829408</v>
      </c>
      <c r="H81" s="113">
        <v>55.935379062666222</v>
      </c>
      <c r="I81" s="113">
        <v>448.61810835297075</v>
      </c>
      <c r="J81" s="113">
        <v>0</v>
      </c>
      <c r="K81" s="113">
        <v>380.87756130481779</v>
      </c>
      <c r="L81" s="113">
        <v>461.91821272182369</v>
      </c>
      <c r="M81" s="113">
        <v>0</v>
      </c>
      <c r="N81" s="113">
        <v>249.05488320140017</v>
      </c>
      <c r="O81" s="113">
        <v>83.072809316922942</v>
      </c>
      <c r="P81" s="113">
        <v>240.99921235496822</v>
      </c>
      <c r="Q81" s="113">
        <v>162.72773714742874</v>
      </c>
      <c r="R81" s="113">
        <v>1058.2569255436529</v>
      </c>
      <c r="S81" s="113">
        <v>7.8217756858799472</v>
      </c>
      <c r="T81" s="113">
        <v>565.86186343771124</v>
      </c>
      <c r="U81" s="113">
        <v>386.87291129705767</v>
      </c>
      <c r="V81" s="113">
        <v>0</v>
      </c>
      <c r="W81" s="113">
        <v>2.7696915172651859E-3</v>
      </c>
      <c r="X81" s="143">
        <v>691.57013779381566</v>
      </c>
    </row>
    <row r="82" spans="1:24" x14ac:dyDescent="0.25">
      <c r="C82" s="58" t="s">
        <v>40</v>
      </c>
      <c r="D82" s="43" t="s">
        <v>29</v>
      </c>
      <c r="E82" s="26"/>
      <c r="F82" s="114">
        <f t="shared" si="38"/>
        <v>1295.8775501360976</v>
      </c>
      <c r="G82" s="113">
        <v>55.408226800171185</v>
      </c>
      <c r="H82" s="113">
        <v>4.9344487276344928</v>
      </c>
      <c r="I82" s="113">
        <v>1.3032536907916801</v>
      </c>
      <c r="J82" s="113">
        <v>0</v>
      </c>
      <c r="K82" s="113">
        <v>69.413176966204929</v>
      </c>
      <c r="L82" s="113">
        <v>148.84855312088371</v>
      </c>
      <c r="M82" s="113">
        <v>0</v>
      </c>
      <c r="N82" s="113">
        <v>8.3943032067018706</v>
      </c>
      <c r="O82" s="113">
        <v>9.2508679210371252</v>
      </c>
      <c r="P82" s="113">
        <v>26.771125129046649</v>
      </c>
      <c r="Q82" s="113">
        <v>4.5419872445363918</v>
      </c>
      <c r="R82" s="113">
        <v>224.36964072569143</v>
      </c>
      <c r="S82" s="113">
        <v>2.7464080247216729</v>
      </c>
      <c r="T82" s="113">
        <v>605.71419242572574</v>
      </c>
      <c r="U82" s="113">
        <v>1.5708581577589615</v>
      </c>
      <c r="V82" s="113">
        <v>0</v>
      </c>
      <c r="W82" s="113">
        <v>3.9737324494478989E-4</v>
      </c>
      <c r="X82" s="143">
        <v>132.61011062194663</v>
      </c>
    </row>
    <row r="83" spans="1:24" x14ac:dyDescent="0.25">
      <c r="C83" s="58" t="s">
        <v>41</v>
      </c>
      <c r="D83" s="43" t="s">
        <v>29</v>
      </c>
      <c r="E83" s="26"/>
      <c r="F83" s="114">
        <f t="shared" si="38"/>
        <v>5332.4903523479734</v>
      </c>
      <c r="G83" s="113">
        <v>54.909489452532384</v>
      </c>
      <c r="H83" s="113">
        <v>22.306120772144162</v>
      </c>
      <c r="I83" s="113">
        <v>0</v>
      </c>
      <c r="J83" s="113">
        <v>0</v>
      </c>
      <c r="K83" s="113">
        <v>365.30879653808921</v>
      </c>
      <c r="L83" s="113">
        <v>105.73876645559328</v>
      </c>
      <c r="M83" s="113">
        <v>0</v>
      </c>
      <c r="N83" s="113">
        <v>15.431981586258281</v>
      </c>
      <c r="O83" s="113">
        <v>1231.6376863664248</v>
      </c>
      <c r="P83" s="113">
        <v>205.72363239567599</v>
      </c>
      <c r="Q83" s="113">
        <v>1129.9370677439274</v>
      </c>
      <c r="R83" s="113">
        <v>1537.542266499891</v>
      </c>
      <c r="S83" s="113">
        <v>5.6309495509572791</v>
      </c>
      <c r="T83" s="113">
        <v>363.71618606591272</v>
      </c>
      <c r="U83" s="113">
        <v>11.505402022662404</v>
      </c>
      <c r="V83" s="113">
        <v>0</v>
      </c>
      <c r="W83" s="113">
        <v>8.1171298798834602E-3</v>
      </c>
      <c r="X83" s="143">
        <v>283.0938897680241</v>
      </c>
    </row>
    <row r="84" spans="1:24" ht="12" thickBot="1" x14ac:dyDescent="0.3">
      <c r="C84" s="96" t="s">
        <v>42</v>
      </c>
      <c r="D84" s="100" t="s">
        <v>29</v>
      </c>
      <c r="E84" s="98"/>
      <c r="F84" s="124">
        <f t="shared" si="38"/>
        <v>59021.028912770504</v>
      </c>
      <c r="G84" s="124">
        <f>SUM(G71:G83)</f>
        <v>3066.7821677856227</v>
      </c>
      <c r="H84" s="124">
        <f t="shared" ref="H84" si="39">SUM(H71:H83)</f>
        <v>492.18384012529657</v>
      </c>
      <c r="I84" s="124">
        <f t="shared" ref="I84" si="40">SUM(I71:I83)</f>
        <v>2102.3204725431997</v>
      </c>
      <c r="J84" s="124">
        <f t="shared" ref="J84" si="41">SUM(J71:J83)</f>
        <v>15.510174269590784</v>
      </c>
      <c r="K84" s="124">
        <f t="shared" ref="K84" si="42">SUM(K71:K83)</f>
        <v>9122.7329706694618</v>
      </c>
      <c r="L84" s="124">
        <f t="shared" ref="L84" si="43">SUM(L71:L83)</f>
        <v>3178.9618221597998</v>
      </c>
      <c r="M84" s="124">
        <f t="shared" ref="M84" si="44">SUM(M71:M83)</f>
        <v>237.95435546754271</v>
      </c>
      <c r="N84" s="124">
        <f t="shared" ref="N84" si="45">SUM(N71:N83)</f>
        <v>4469.4924813801817</v>
      </c>
      <c r="O84" s="124">
        <f t="shared" ref="O84" si="46">SUM(O71:O83)</f>
        <v>1849.1933962444077</v>
      </c>
      <c r="P84" s="124">
        <f t="shared" ref="P84" si="47">SUM(P71:P83)</f>
        <v>2229.213064979836</v>
      </c>
      <c r="Q84" s="124">
        <f t="shared" ref="Q84" si="48">SUM(Q71:Q83)</f>
        <v>4220.6093650866933</v>
      </c>
      <c r="R84" s="124">
        <f t="shared" ref="R84" si="49">SUM(R71:R83)</f>
        <v>13157.821772002446</v>
      </c>
      <c r="S84" s="124">
        <f t="shared" ref="S84" si="50">SUM(S71:S83)</f>
        <v>67.084659857668598</v>
      </c>
      <c r="T84" s="124">
        <f t="shared" ref="T84" si="51">SUM(T71:T83)</f>
        <v>7080.6815610929289</v>
      </c>
      <c r="U84" s="124">
        <f t="shared" ref="U84" si="52">SUM(U71:U83)</f>
        <v>2388.8975989759947</v>
      </c>
      <c r="V84" s="124">
        <f t="shared" ref="V84" si="53">SUM(V71:V83)</f>
        <v>418.39704230937832</v>
      </c>
      <c r="W84" s="124">
        <f t="shared" ref="W84" si="54">SUM(W71:W83)</f>
        <v>6.3109653723819399</v>
      </c>
      <c r="X84" s="144">
        <f t="shared" ref="X84" si="55">SUM(X71:X83)</f>
        <v>4916.8812024480776</v>
      </c>
    </row>
    <row r="88" spans="1:24" ht="12" thickBot="1" x14ac:dyDescent="0.3">
      <c r="A88" s="36" t="str">
        <f>C26</f>
        <v>Border</v>
      </c>
      <c r="C88" s="28" t="str">
        <f>"Table 2: "&amp;A88&amp;" operating expenditure ($'000, $2025-26)"</f>
        <v>Table 2: Border operating expenditure ($'000, $2025-26)</v>
      </c>
    </row>
    <row r="89" spans="1:24" ht="34.5" x14ac:dyDescent="0.25">
      <c r="A89" s="36"/>
      <c r="C89" s="29"/>
      <c r="D89" s="101"/>
      <c r="E89" s="52"/>
      <c r="F89" s="126" t="str">
        <f>$F$24</f>
        <v>Total</v>
      </c>
      <c r="G89" s="54" t="str">
        <f>$G$24</f>
        <v>Customer Support</v>
      </c>
      <c r="H89" s="54" t="str">
        <f>$H$24</f>
        <v>Customer Billing</v>
      </c>
      <c r="I89" s="54" t="str">
        <f>$I$24</f>
        <v>Metering and Compliance</v>
      </c>
      <c r="J89" s="54" t="str">
        <f>$J$24</f>
        <v>New Metering and Compliance</v>
      </c>
      <c r="K89" s="54" t="str">
        <f>$K$24</f>
        <v>Water Delivery and Other Operations</v>
      </c>
      <c r="L89" s="54" t="str">
        <f>$L$24</f>
        <v>Catchment Planning and Operations</v>
      </c>
      <c r="M89" s="54" t="str">
        <f>$M$24</f>
        <v>Flood Operations</v>
      </c>
      <c r="N89" s="54" t="str">
        <f>$N$24</f>
        <v>Hydrometric Monitoring</v>
      </c>
      <c r="O89" s="54" t="str">
        <f>$O$24</f>
        <v>Water Quality Monitoring</v>
      </c>
      <c r="P89" s="54" t="str">
        <f>$P$24</f>
        <v>Direct Insurances</v>
      </c>
      <c r="Q89" s="54" t="str">
        <f>$Q$24</f>
        <v>Corrective Maintenance</v>
      </c>
      <c r="R89" s="54" t="str">
        <f>$R$24</f>
        <v>Routine Maintenance</v>
      </c>
      <c r="S89" s="55" t="str">
        <f>$S$24</f>
        <v>Renewal and Replacement</v>
      </c>
      <c r="T89" s="54" t="str">
        <f>$T$24</f>
        <v>Asset management planning</v>
      </c>
      <c r="U89" s="54" t="str">
        <f>$U$24</f>
        <v>Dam Safety Compliance</v>
      </c>
      <c r="V89" s="54" t="str">
        <f>$V$24</f>
        <v>Environmental Planning and Protection</v>
      </c>
      <c r="W89" s="54" t="str">
        <f>$W$24</f>
        <v>Environmental Delivery</v>
      </c>
      <c r="X89" s="139" t="str">
        <f>$X$24</f>
        <v>Corporate Systems</v>
      </c>
    </row>
    <row r="90" spans="1:24" x14ac:dyDescent="0.25">
      <c r="A90" s="36"/>
      <c r="C90" s="24" t="s">
        <v>58</v>
      </c>
      <c r="D90" s="25" t="s">
        <v>29</v>
      </c>
      <c r="E90" s="37"/>
      <c r="F90" s="127">
        <f>SUM(G90:Z90)</f>
        <v>1658.2134646682819</v>
      </c>
      <c r="G90" s="128">
        <f>SUMIF($C$26:$C$38,$A88,G$26:G$38)</f>
        <v>264.61220114326369</v>
      </c>
      <c r="H90" s="128">
        <f t="shared" ref="H90:X90" si="56">SUMIF($C$26:$C$38,$A88,H$26:H$38)</f>
        <v>19.624494643336853</v>
      </c>
      <c r="I90" s="128">
        <f t="shared" si="56"/>
        <v>188.90608477148561</v>
      </c>
      <c r="J90" s="128">
        <f>SUMIF($C$26:$C$38,$A88,J$26:J$38)</f>
        <v>0</v>
      </c>
      <c r="K90" s="128">
        <f t="shared" si="56"/>
        <v>311.22967448451516</v>
      </c>
      <c r="L90" s="128">
        <f>SUMIF($C$26:$C$38,$A88,L$26:L$38)</f>
        <v>0</v>
      </c>
      <c r="M90" s="128">
        <f t="shared" si="56"/>
        <v>0</v>
      </c>
      <c r="N90" s="128">
        <f t="shared" si="56"/>
        <v>49.299052379561203</v>
      </c>
      <c r="O90" s="128">
        <f t="shared" si="56"/>
        <v>23.802835012964849</v>
      </c>
      <c r="P90" s="128">
        <f>SUMIF($C$26:$C$38,$A88,P$26:P$38)</f>
        <v>44.699070291466164</v>
      </c>
      <c r="Q90" s="128">
        <f t="shared" si="56"/>
        <v>144.4072785868193</v>
      </c>
      <c r="R90" s="128">
        <f t="shared" si="56"/>
        <v>376.00694657271288</v>
      </c>
      <c r="S90" s="128">
        <f>SUMIF($C$26:$C$38,$A88,S$26:S$38)</f>
        <v>0.35335016608324943</v>
      </c>
      <c r="T90" s="128">
        <f t="shared" si="56"/>
        <v>60.411269603370656</v>
      </c>
      <c r="U90" s="128">
        <f t="shared" si="56"/>
        <v>144.26607089129439</v>
      </c>
      <c r="V90" s="128">
        <f t="shared" si="56"/>
        <v>8.493323214760423</v>
      </c>
      <c r="W90" s="128">
        <f>SUMIF($C$26:$C$38,$A88,W$26:W$38)</f>
        <v>0</v>
      </c>
      <c r="X90" s="145">
        <f t="shared" si="56"/>
        <v>22.101812906647357</v>
      </c>
    </row>
    <row r="91" spans="1:24" x14ac:dyDescent="0.25">
      <c r="A91" s="36"/>
      <c r="C91" s="24" t="s">
        <v>53</v>
      </c>
      <c r="D91" s="25" t="s">
        <v>29</v>
      </c>
      <c r="E91" s="26"/>
      <c r="F91" s="129">
        <f>SUM(G91:Z91)</f>
        <v>2326.2152200998416</v>
      </c>
      <c r="G91" s="128">
        <f>SUMIF($C$41:$C$53,$A88,G$41:G$53)</f>
        <v>183.04290010099851</v>
      </c>
      <c r="H91" s="128">
        <f t="shared" ref="H91:X91" si="57">SUMIF($C$41:$C$53,$A88,H$41:H$53)</f>
        <v>15.1613818968752</v>
      </c>
      <c r="I91" s="128">
        <f t="shared" si="57"/>
        <v>10.086300392210108</v>
      </c>
      <c r="J91" s="128">
        <f>SUMIF($C$41:$C$53,$A88,J$41:J$53)</f>
        <v>0</v>
      </c>
      <c r="K91" s="128">
        <f t="shared" si="57"/>
        <v>776.98838617137631</v>
      </c>
      <c r="L91" s="128">
        <f>SUMIF($C$41:$C$53,$A88,L$41:L$53)</f>
        <v>32.137398812998761</v>
      </c>
      <c r="M91" s="128">
        <f t="shared" si="57"/>
        <v>0</v>
      </c>
      <c r="N91" s="128">
        <f t="shared" si="57"/>
        <v>55.244033051291339</v>
      </c>
      <c r="O91" s="128">
        <f t="shared" si="57"/>
        <v>51.405190217920989</v>
      </c>
      <c r="P91" s="128">
        <f>SUMIF($C$41:$C$53,$A88,P$41:P$53)</f>
        <v>87.688187254338345</v>
      </c>
      <c r="Q91" s="128">
        <f t="shared" si="57"/>
        <v>10.068143772256212</v>
      </c>
      <c r="R91" s="128">
        <f t="shared" si="57"/>
        <v>372.54819376584067</v>
      </c>
      <c r="S91" s="128">
        <f>SUMIF($C$41:$C$53,$A88,S$41:S$53)</f>
        <v>3.3473648876686699</v>
      </c>
      <c r="T91" s="128">
        <f t="shared" si="57"/>
        <v>578.96180458881588</v>
      </c>
      <c r="U91" s="128">
        <f t="shared" si="57"/>
        <v>65.552836725404006</v>
      </c>
      <c r="V91" s="128">
        <f t="shared" si="57"/>
        <v>0</v>
      </c>
      <c r="W91" s="128">
        <f>SUMIF($C$41:$C$53,$A88,W$41:W$53)</f>
        <v>1.0375081661778811E-3</v>
      </c>
      <c r="X91" s="145">
        <f t="shared" si="57"/>
        <v>83.982060953680318</v>
      </c>
    </row>
    <row r="92" spans="1:24" x14ac:dyDescent="0.25">
      <c r="A92" s="36"/>
      <c r="C92" s="24" t="s">
        <v>54</v>
      </c>
      <c r="D92" s="25" t="s">
        <v>29</v>
      </c>
      <c r="E92" s="26"/>
      <c r="F92" s="129">
        <f>SUM(G92:Z92)</f>
        <v>2162.8872665081467</v>
      </c>
      <c r="G92" s="128">
        <f>SUMIF($C$56:$C$68,$A88,G$56:G$68)</f>
        <v>168.35390098846065</v>
      </c>
      <c r="H92" s="128">
        <f t="shared" ref="H92:X92" si="58">SUMIF($C$56:$C$68,$A88,H$56:H$68)</f>
        <v>15.055670982615062</v>
      </c>
      <c r="I92" s="128">
        <f t="shared" si="58"/>
        <v>9.8604116234104158</v>
      </c>
      <c r="J92" s="128">
        <f>SUMIF($C$56:$C$68,$A88,J$56:J$68)</f>
        <v>0</v>
      </c>
      <c r="K92" s="128">
        <f t="shared" si="58"/>
        <v>755.45443367827693</v>
      </c>
      <c r="L92" s="128">
        <f>SUMIF($C$56:$C$68,$A88,L$56:L$68)</f>
        <v>32.738981933126013</v>
      </c>
      <c r="M92" s="128">
        <f t="shared" si="58"/>
        <v>0</v>
      </c>
      <c r="N92" s="128">
        <f t="shared" si="58"/>
        <v>54.817794533283006</v>
      </c>
      <c r="O92" s="128">
        <f t="shared" si="58"/>
        <v>63.873240363715382</v>
      </c>
      <c r="P92" s="128">
        <f>SUMIF($C$56:$C$68,$A88,P$56:P$68)</f>
        <v>91.942196130911626</v>
      </c>
      <c r="Q92" s="128">
        <f t="shared" si="58"/>
        <v>9.9512452475539686</v>
      </c>
      <c r="R92" s="128">
        <f t="shared" si="58"/>
        <v>370.45876319255495</v>
      </c>
      <c r="S92" s="128">
        <f>SUMIF($C$56:$C$68,$A88,S$56:S$68)</f>
        <v>3.3224601186794072</v>
      </c>
      <c r="T92" s="128">
        <f t="shared" si="58"/>
        <v>428.34302705338388</v>
      </c>
      <c r="U92" s="128">
        <f t="shared" si="58"/>
        <v>64.64040086518861</v>
      </c>
      <c r="V92" s="128">
        <f t="shared" si="58"/>
        <v>0</v>
      </c>
      <c r="W92" s="128">
        <f>SUMIF($C$56:$C$68,$A88,W$56:W$68)</f>
        <v>1.0302749145895309E-3</v>
      </c>
      <c r="X92" s="145">
        <f t="shared" si="58"/>
        <v>94.073709522072235</v>
      </c>
    </row>
    <row r="93" spans="1:24" ht="12" thickBot="1" x14ac:dyDescent="0.3">
      <c r="A93" s="36"/>
      <c r="C93" s="96" t="s">
        <v>55</v>
      </c>
      <c r="D93" s="97" t="s">
        <v>29</v>
      </c>
      <c r="E93" s="98"/>
      <c r="F93" s="130">
        <f>SUM(G93:Z93)</f>
        <v>2460.0491868289296</v>
      </c>
      <c r="G93" s="131">
        <f>SUMIF($C$71:$C$83,$A88,G$71:G$83)</f>
        <v>167.02902633160861</v>
      </c>
      <c r="H93" s="131">
        <f t="shared" ref="H93:X93" si="59">SUMIF($C$71:$C$83,$A88,H$71:H$83)</f>
        <v>14.94137967835978</v>
      </c>
      <c r="I93" s="131">
        <f t="shared" si="59"/>
        <v>9.84932420053733</v>
      </c>
      <c r="J93" s="131">
        <f>SUMIF($C$71:$C$83,$A88,J$71:J$83)</f>
        <v>0</v>
      </c>
      <c r="K93" s="131">
        <f t="shared" si="59"/>
        <v>771.88128582661591</v>
      </c>
      <c r="L93" s="131">
        <f>SUMIF($C$71:$C$83,$A88,L$71:L$83)</f>
        <v>37.721023558324859</v>
      </c>
      <c r="M93" s="131">
        <f t="shared" si="59"/>
        <v>0</v>
      </c>
      <c r="N93" s="131">
        <f t="shared" si="59"/>
        <v>54.435879075150652</v>
      </c>
      <c r="O93" s="131">
        <f t="shared" si="59"/>
        <v>43.529462492948198</v>
      </c>
      <c r="P93" s="131">
        <f>SUMIF($C$71:$C$83,$A88,P$71:P$83)</f>
        <v>94.133891103432518</v>
      </c>
      <c r="Q93" s="131">
        <f t="shared" si="59"/>
        <v>9.8296317785965215</v>
      </c>
      <c r="R93" s="131">
        <f t="shared" si="59"/>
        <v>368.22284008000008</v>
      </c>
      <c r="S93" s="131">
        <f>SUMIF($C$71:$C$83,$A88,S$71:S$83)</f>
        <v>3.2956938479975486</v>
      </c>
      <c r="T93" s="131">
        <f t="shared" si="59"/>
        <v>724.75565980594729</v>
      </c>
      <c r="U93" s="131">
        <f t="shared" si="59"/>
        <v>63.704788419638191</v>
      </c>
      <c r="V93" s="131">
        <f t="shared" si="59"/>
        <v>0</v>
      </c>
      <c r="W93" s="131">
        <f>SUMIF($C$71:$C$83,$A88,W$71:W$83)</f>
        <v>1.0224547538467067E-3</v>
      </c>
      <c r="X93" s="146">
        <f t="shared" si="59"/>
        <v>96.718278175018852</v>
      </c>
    </row>
    <row r="94" spans="1:24" x14ac:dyDescent="0.25">
      <c r="A94" s="36"/>
    </row>
    <row r="95" spans="1:24" x14ac:dyDescent="0.25">
      <c r="A95" s="36"/>
    </row>
    <row r="96" spans="1:24" x14ac:dyDescent="0.25">
      <c r="A96" s="36"/>
    </row>
    <row r="97" spans="1:24" ht="12" thickBot="1" x14ac:dyDescent="0.3">
      <c r="A97" s="36" t="str">
        <f>C27</f>
        <v>Gwydir</v>
      </c>
      <c r="C97" s="28" t="str">
        <f>"Table 3: "&amp;A97&amp;" operating expenditure ($'000, $2025-26)"</f>
        <v>Table 3: Gwydir operating expenditure ($'000, $2025-26)</v>
      </c>
    </row>
    <row r="98" spans="1:24" ht="34.5" x14ac:dyDescent="0.25">
      <c r="A98" s="36"/>
      <c r="C98" s="29"/>
      <c r="D98" s="101"/>
      <c r="E98" s="52"/>
      <c r="F98" s="126" t="str">
        <f>$F$24</f>
        <v>Total</v>
      </c>
      <c r="G98" s="54" t="str">
        <f>$G$24</f>
        <v>Customer Support</v>
      </c>
      <c r="H98" s="54" t="str">
        <f>$H$24</f>
        <v>Customer Billing</v>
      </c>
      <c r="I98" s="54" t="str">
        <f>$I$24</f>
        <v>Metering and Compliance</v>
      </c>
      <c r="J98" s="54" t="str">
        <f>$J$24</f>
        <v>New Metering and Compliance</v>
      </c>
      <c r="K98" s="54" t="str">
        <f>$K$24</f>
        <v>Water Delivery and Other Operations</v>
      </c>
      <c r="L98" s="54" t="str">
        <f>$L$24</f>
        <v>Catchment Planning and Operations</v>
      </c>
      <c r="M98" s="54" t="str">
        <f>$M$24</f>
        <v>Flood Operations</v>
      </c>
      <c r="N98" s="54" t="str">
        <f>$N$24</f>
        <v>Hydrometric Monitoring</v>
      </c>
      <c r="O98" s="54" t="str">
        <f>$O$24</f>
        <v>Water Quality Monitoring</v>
      </c>
      <c r="P98" s="54" t="str">
        <f>$P$24</f>
        <v>Direct Insurances</v>
      </c>
      <c r="Q98" s="54" t="str">
        <f>$Q$24</f>
        <v>Corrective Maintenance</v>
      </c>
      <c r="R98" s="54" t="str">
        <f>$R$24</f>
        <v>Routine Maintenance</v>
      </c>
      <c r="S98" s="55" t="str">
        <f>$S$24</f>
        <v>Renewal and Replacement</v>
      </c>
      <c r="T98" s="54" t="str">
        <f>$T$24</f>
        <v>Asset management planning</v>
      </c>
      <c r="U98" s="54" t="str">
        <f>$U$24</f>
        <v>Dam Safety Compliance</v>
      </c>
      <c r="V98" s="54" t="str">
        <f>$V$24</f>
        <v>Environmental Planning and Protection</v>
      </c>
      <c r="W98" s="54" t="str">
        <f>$W$24</f>
        <v>Environmental Delivery</v>
      </c>
      <c r="X98" s="139" t="str">
        <f>$X$24</f>
        <v>Corporate Systems</v>
      </c>
    </row>
    <row r="99" spans="1:24" x14ac:dyDescent="0.25">
      <c r="A99" s="36"/>
      <c r="C99" s="24" t="s">
        <v>58</v>
      </c>
      <c r="D99" s="25" t="s">
        <v>29</v>
      </c>
      <c r="E99" s="37"/>
      <c r="F99" s="127">
        <f>SUM(G99:Z99)</f>
        <v>5361.2950185985073</v>
      </c>
      <c r="G99" s="128">
        <f>SUMIF($C$26:$C$38,$A97,G$26:G$38)</f>
        <v>156.2160513968216</v>
      </c>
      <c r="H99" s="128">
        <f t="shared" ref="H99:X99" si="60">SUMIF($C$26:$C$38,$A97,H$26:H$38)</f>
        <v>42.954820307735297</v>
      </c>
      <c r="I99" s="128">
        <f t="shared" si="60"/>
        <v>38.070328982218108</v>
      </c>
      <c r="J99" s="128">
        <f>SUMIF($C$26:$C$38,$A97,J$26:J$38)</f>
        <v>0</v>
      </c>
      <c r="K99" s="128">
        <f t="shared" si="60"/>
        <v>834.78381182331464</v>
      </c>
      <c r="L99" s="128">
        <f>SUMIF($C$26:$C$38,$A97,L$26:L$38)</f>
        <v>0</v>
      </c>
      <c r="M99" s="128">
        <f t="shared" si="60"/>
        <v>163.24484055888553</v>
      </c>
      <c r="N99" s="128">
        <f t="shared" si="60"/>
        <v>539.76687914571573</v>
      </c>
      <c r="O99" s="128">
        <f t="shared" si="60"/>
        <v>32.262181744241971</v>
      </c>
      <c r="P99" s="128">
        <f>SUMIF($C$26:$C$38,$A97,P$26:P$38)</f>
        <v>92.979374792211431</v>
      </c>
      <c r="Q99" s="128">
        <f t="shared" si="60"/>
        <v>593.88634456976911</v>
      </c>
      <c r="R99" s="128">
        <f t="shared" si="60"/>
        <v>1618.9017173581631</v>
      </c>
      <c r="S99" s="128">
        <f>SUMIF($C$26:$C$38,$A97,S$26:S$38)</f>
        <v>2.7630128933717337</v>
      </c>
      <c r="T99" s="128">
        <f t="shared" si="60"/>
        <v>446.86606301914713</v>
      </c>
      <c r="U99" s="128">
        <f t="shared" si="60"/>
        <v>387.02537305238121</v>
      </c>
      <c r="V99" s="128">
        <f t="shared" si="60"/>
        <v>213.16688041884726</v>
      </c>
      <c r="W99" s="128">
        <f>SUMIF($C$26:$C$38,$A97,W$26:W$38)</f>
        <v>0</v>
      </c>
      <c r="X99" s="145">
        <f t="shared" si="60"/>
        <v>198.40733853568341</v>
      </c>
    </row>
    <row r="100" spans="1:24" x14ac:dyDescent="0.25">
      <c r="A100" s="36"/>
      <c r="C100" s="24" t="s">
        <v>53</v>
      </c>
      <c r="D100" s="25" t="s">
        <v>29</v>
      </c>
      <c r="E100" s="26"/>
      <c r="F100" s="129">
        <f>SUM(G100:Z100)</f>
        <v>5477.4042847848223</v>
      </c>
      <c r="G100" s="128">
        <f>SUMIF($C$41:$C$53,$A97,G$41:G$53)</f>
        <v>302.43535257682106</v>
      </c>
      <c r="H100" s="128">
        <f t="shared" ref="H100:X100" si="61">SUMIF($C$41:$C$53,$A97,H$41:H$53)</f>
        <v>15.861673808599731</v>
      </c>
      <c r="I100" s="128">
        <f t="shared" si="61"/>
        <v>11.762958516645332</v>
      </c>
      <c r="J100" s="128">
        <f>SUMIF($C$41:$C$53,$A97,J$41:J$53)</f>
        <v>0</v>
      </c>
      <c r="K100" s="128">
        <f t="shared" si="61"/>
        <v>967.99646806912233</v>
      </c>
      <c r="L100" s="128">
        <f>SUMIF($C$41:$C$53,$A97,L$41:L$53)</f>
        <v>254.58704837794224</v>
      </c>
      <c r="M100" s="128">
        <f t="shared" si="61"/>
        <v>45.919184125111968</v>
      </c>
      <c r="N100" s="128">
        <f t="shared" si="61"/>
        <v>685.2452080351876</v>
      </c>
      <c r="O100" s="128">
        <f t="shared" si="61"/>
        <v>58.774464428415548</v>
      </c>
      <c r="P100" s="128">
        <f>SUMIF($C$41:$C$53,$A97,P$41:P$53)</f>
        <v>232.19293271080127</v>
      </c>
      <c r="Q100" s="128">
        <f t="shared" si="61"/>
        <v>493.15098884824613</v>
      </c>
      <c r="R100" s="128">
        <f t="shared" si="61"/>
        <v>965.56362541683779</v>
      </c>
      <c r="S100" s="128">
        <f>SUMIF($C$41:$C$53,$A97,S$41:S$53)</f>
        <v>7.810519530138885</v>
      </c>
      <c r="T100" s="128">
        <f t="shared" si="61"/>
        <v>604.94883028115908</v>
      </c>
      <c r="U100" s="128">
        <f t="shared" si="61"/>
        <v>385.14762382284522</v>
      </c>
      <c r="V100" s="128">
        <f t="shared" si="61"/>
        <v>139.89444675936357</v>
      </c>
      <c r="W100" s="128">
        <f>SUMIF($C$41:$C$53,$A97,W$41:W$53)</f>
        <v>3.8464822405459434E-3</v>
      </c>
      <c r="X100" s="145">
        <f t="shared" si="61"/>
        <v>306.10911299534354</v>
      </c>
    </row>
    <row r="101" spans="1:24" x14ac:dyDescent="0.25">
      <c r="A101" s="36"/>
      <c r="C101" s="24" t="s">
        <v>54</v>
      </c>
      <c r="D101" s="25" t="s">
        <v>29</v>
      </c>
      <c r="E101" s="26"/>
      <c r="F101" s="129">
        <f>SUM(G101:Z101)</f>
        <v>5376.2265871528989</v>
      </c>
      <c r="G101" s="128">
        <f>SUMIF($C$56:$C$68,$A97,G$56:G$68)</f>
        <v>278.19676863972558</v>
      </c>
      <c r="H101" s="128">
        <f t="shared" ref="H101:X101" si="62">SUMIF($C$56:$C$68,$A97,H$56:H$68)</f>
        <v>15.751098092117601</v>
      </c>
      <c r="I101" s="128">
        <f t="shared" si="62"/>
        <v>11.507527616035141</v>
      </c>
      <c r="J101" s="128">
        <f>SUMIF($C$56:$C$68,$A97,J$56:J$68)</f>
        <v>0</v>
      </c>
      <c r="K101" s="128">
        <f t="shared" si="62"/>
        <v>941.51366285892027</v>
      </c>
      <c r="L101" s="128">
        <f>SUMIF($C$56:$C$68,$A97,L$56:L$68)</f>
        <v>282.15092041830928</v>
      </c>
      <c r="M101" s="128">
        <f t="shared" si="62"/>
        <v>45.599053494713644</v>
      </c>
      <c r="N101" s="128">
        <f t="shared" si="62"/>
        <v>681.41374203439125</v>
      </c>
      <c r="O101" s="128">
        <f t="shared" si="62"/>
        <v>73.029829426259624</v>
      </c>
      <c r="P101" s="128">
        <f>SUMIF($C$56:$C$68,$A97,P$56:P$68)</f>
        <v>243.49432849584525</v>
      </c>
      <c r="Q101" s="128">
        <f t="shared" si="62"/>
        <v>491.60345518083813</v>
      </c>
      <c r="R101" s="128">
        <f t="shared" si="62"/>
        <v>959.88486901912779</v>
      </c>
      <c r="S101" s="128">
        <f>SUMIF($C$56:$C$68,$A97,S$56:S$68)</f>
        <v>7.7524047689513216</v>
      </c>
      <c r="T101" s="128">
        <f t="shared" si="62"/>
        <v>473.21660790756454</v>
      </c>
      <c r="U101" s="128">
        <f t="shared" si="62"/>
        <v>382.6405853708265</v>
      </c>
      <c r="V101" s="128">
        <f t="shared" si="62"/>
        <v>139.39475018100845</v>
      </c>
      <c r="W101" s="128">
        <f>SUMIF($C$56:$C$68,$A97,W$56:W$68)</f>
        <v>3.8196655130415366E-3</v>
      </c>
      <c r="X101" s="145">
        <f t="shared" si="62"/>
        <v>349.07316398275157</v>
      </c>
    </row>
    <row r="102" spans="1:24" ht="12" thickBot="1" x14ac:dyDescent="0.3">
      <c r="A102" s="36"/>
      <c r="C102" s="96" t="s">
        <v>55</v>
      </c>
      <c r="D102" s="97" t="s">
        <v>29</v>
      </c>
      <c r="E102" s="98"/>
      <c r="F102" s="130">
        <f>SUM(G102:Z102)</f>
        <v>5801.1018302907405</v>
      </c>
      <c r="G102" s="131">
        <f>SUMIF($C$71:$C$83,$A97,G$71:G$83)</f>
        <v>276.00830198849201</v>
      </c>
      <c r="H102" s="131">
        <f t="shared" ref="H102:X102" si="63">SUMIF($C$71:$C$83,$A97,H$71:H$83)</f>
        <v>15.631547155641254</v>
      </c>
      <c r="I102" s="131">
        <f t="shared" si="63"/>
        <v>11.475802962617548</v>
      </c>
      <c r="J102" s="131">
        <f>SUMIF($C$71:$C$83,$A97,J$71:J$83)</f>
        <v>0</v>
      </c>
      <c r="K102" s="131">
        <f t="shared" si="63"/>
        <v>962.34521372661266</v>
      </c>
      <c r="L102" s="131">
        <f>SUMIF($C$71:$C$83,$A97,L$71:L$83)</f>
        <v>368.00507823873306</v>
      </c>
      <c r="M102" s="131">
        <f t="shared" si="63"/>
        <v>45.25294122302379</v>
      </c>
      <c r="N102" s="131">
        <f t="shared" si="63"/>
        <v>677.2872944170532</v>
      </c>
      <c r="O102" s="131">
        <f t="shared" si="63"/>
        <v>49.769702554277586</v>
      </c>
      <c r="P102" s="131">
        <f>SUMIF($C$71:$C$83,$A97,P$71:P$83)</f>
        <v>249.32736324271195</v>
      </c>
      <c r="Q102" s="131">
        <f t="shared" si="63"/>
        <v>489.73821715235715</v>
      </c>
      <c r="R102" s="131">
        <f t="shared" si="63"/>
        <v>953.36854168943387</v>
      </c>
      <c r="S102" s="131">
        <f>SUMIF($C$71:$C$83,$A97,S$71:S$83)</f>
        <v>7.6899509058837552</v>
      </c>
      <c r="T102" s="131">
        <f t="shared" si="63"/>
        <v>799.94211132410101</v>
      </c>
      <c r="U102" s="131">
        <f t="shared" si="63"/>
        <v>379.92611402057378</v>
      </c>
      <c r="V102" s="131">
        <f t="shared" si="63"/>
        <v>139.46568076979278</v>
      </c>
      <c r="W102" s="131">
        <f>SUMIF($C$71:$C$83,$A97,W$71:W$83)</f>
        <v>3.7906728646980529E-3</v>
      </c>
      <c r="X102" s="146">
        <f t="shared" si="63"/>
        <v>375.86417824657019</v>
      </c>
    </row>
    <row r="103" spans="1:24" x14ac:dyDescent="0.25">
      <c r="A103" s="36"/>
    </row>
    <row r="104" spans="1:24" x14ac:dyDescent="0.25">
      <c r="A104" s="36"/>
    </row>
    <row r="105" spans="1:24" x14ac:dyDescent="0.25">
      <c r="A105" s="36"/>
    </row>
    <row r="106" spans="1:24" ht="12" thickBot="1" x14ac:dyDescent="0.3">
      <c r="A106" s="36" t="str">
        <f>C28</f>
        <v>Namoi</v>
      </c>
      <c r="C106" s="28" t="str">
        <f>"Table 4: "&amp;A106&amp;" operating expenditure ($'000, $2025-26)"</f>
        <v>Table 4: Namoi operating expenditure ($'000, $2025-26)</v>
      </c>
    </row>
    <row r="107" spans="1:24" ht="34.5" x14ac:dyDescent="0.25">
      <c r="A107" s="36"/>
      <c r="C107" s="29"/>
      <c r="D107" s="101"/>
      <c r="E107" s="52"/>
      <c r="F107" s="126" t="str">
        <f>$F$24</f>
        <v>Total</v>
      </c>
      <c r="G107" s="54" t="str">
        <f>$G$24</f>
        <v>Customer Support</v>
      </c>
      <c r="H107" s="54" t="str">
        <f>$H$24</f>
        <v>Customer Billing</v>
      </c>
      <c r="I107" s="54" t="str">
        <f>$I$24</f>
        <v>Metering and Compliance</v>
      </c>
      <c r="J107" s="54" t="str">
        <f>$J$24</f>
        <v>New Metering and Compliance</v>
      </c>
      <c r="K107" s="54" t="str">
        <f>$K$24</f>
        <v>Water Delivery and Other Operations</v>
      </c>
      <c r="L107" s="54" t="str">
        <f>$L$24</f>
        <v>Catchment Planning and Operations</v>
      </c>
      <c r="M107" s="54" t="str">
        <f>$M$24</f>
        <v>Flood Operations</v>
      </c>
      <c r="N107" s="54" t="str">
        <f>$N$24</f>
        <v>Hydrometric Monitoring</v>
      </c>
      <c r="O107" s="54" t="str">
        <f>$O$24</f>
        <v>Water Quality Monitoring</v>
      </c>
      <c r="P107" s="54" t="str">
        <f>$P$24</f>
        <v>Direct Insurances</v>
      </c>
      <c r="Q107" s="54" t="str">
        <f>$Q$24</f>
        <v>Corrective Maintenance</v>
      </c>
      <c r="R107" s="54" t="str">
        <f>$R$24</f>
        <v>Routine Maintenance</v>
      </c>
      <c r="S107" s="55" t="str">
        <f>$S$24</f>
        <v>Renewal and Replacement</v>
      </c>
      <c r="T107" s="54" t="str">
        <f>$T$24</f>
        <v>Asset management planning</v>
      </c>
      <c r="U107" s="54" t="str">
        <f>$U$24</f>
        <v>Dam Safety Compliance</v>
      </c>
      <c r="V107" s="54" t="str">
        <f>$V$24</f>
        <v>Environmental Planning and Protection</v>
      </c>
      <c r="W107" s="54" t="str">
        <f>$W$24</f>
        <v>Environmental Delivery</v>
      </c>
      <c r="X107" s="139" t="str">
        <f>$X$24</f>
        <v>Corporate Systems</v>
      </c>
    </row>
    <row r="108" spans="1:24" x14ac:dyDescent="0.25">
      <c r="A108" s="36"/>
      <c r="C108" s="24" t="s">
        <v>58</v>
      </c>
      <c r="D108" s="25" t="s">
        <v>29</v>
      </c>
      <c r="E108" s="37"/>
      <c r="F108" s="127">
        <f>SUM(G108:Z108)</f>
        <v>5714.3574465467573</v>
      </c>
      <c r="G108" s="128">
        <f>SUMIF($C$26:$C$38,$A106,G$26:G$38)</f>
        <v>149.6413054098926</v>
      </c>
      <c r="H108" s="128">
        <f t="shared" ref="H108:X108" si="64">SUMIF($C$26:$C$38,$A106,H$26:H$38)</f>
        <v>50.550166576110762</v>
      </c>
      <c r="I108" s="128">
        <f t="shared" si="64"/>
        <v>22.640497437757269</v>
      </c>
      <c r="J108" s="128">
        <f>SUMIF($C$26:$C$38,$A106,J$26:J$38)</f>
        <v>0</v>
      </c>
      <c r="K108" s="128">
        <f t="shared" si="64"/>
        <v>789.04288431182931</v>
      </c>
      <c r="L108" s="128">
        <f>SUMIF($C$26:$C$38,$A106,L$26:L$38)</f>
        <v>0</v>
      </c>
      <c r="M108" s="128">
        <f t="shared" si="64"/>
        <v>176.05127028579179</v>
      </c>
      <c r="N108" s="128">
        <f t="shared" si="64"/>
        <v>565.28520545645631</v>
      </c>
      <c r="O108" s="128">
        <f t="shared" si="64"/>
        <v>67.806425927743732</v>
      </c>
      <c r="P108" s="128">
        <f>SUMIF($C$26:$C$38,$A106,P$26:P$38)</f>
        <v>114.87790538867392</v>
      </c>
      <c r="Q108" s="128">
        <f t="shared" si="64"/>
        <v>489.01453046652784</v>
      </c>
      <c r="R108" s="128">
        <f t="shared" si="64"/>
        <v>1829.9702234609629</v>
      </c>
      <c r="S108" s="128">
        <f>SUMIF($C$26:$C$38,$A106,S$26:S$38)</f>
        <v>1.8904762987196446</v>
      </c>
      <c r="T108" s="128">
        <f t="shared" si="64"/>
        <v>309.84960144366676</v>
      </c>
      <c r="U108" s="128">
        <f t="shared" si="64"/>
        <v>582.87940956188595</v>
      </c>
      <c r="V108" s="128">
        <f t="shared" si="64"/>
        <v>201.3986409538056</v>
      </c>
      <c r="W108" s="128">
        <f>SUMIF($C$26:$C$38,$A106,W$26:W$38)</f>
        <v>0</v>
      </c>
      <c r="X108" s="145">
        <f t="shared" si="64"/>
        <v>363.45890356693292</v>
      </c>
    </row>
    <row r="109" spans="1:24" x14ac:dyDescent="0.25">
      <c r="A109" s="36"/>
      <c r="C109" s="24" t="s">
        <v>53</v>
      </c>
      <c r="D109" s="25" t="s">
        <v>29</v>
      </c>
      <c r="E109" s="26"/>
      <c r="F109" s="129">
        <f>SUM(G109:Z109)</f>
        <v>5693.6233701449619</v>
      </c>
      <c r="G109" s="128">
        <f>SUMIF($C$41:$C$53,$A106,G$41:G$53)</f>
        <v>363.61480199713492</v>
      </c>
      <c r="H109" s="128">
        <f t="shared" ref="H109:X109" si="65">SUMIF($C$41:$C$53,$A106,H$41:H$53)</f>
        <v>25.770818669049223</v>
      </c>
      <c r="I109" s="128">
        <f t="shared" si="65"/>
        <v>145.11918613947407</v>
      </c>
      <c r="J109" s="128">
        <f>SUMIF($C$41:$C$53,$A106,J$41:J$53)</f>
        <v>0</v>
      </c>
      <c r="K109" s="128">
        <f t="shared" si="65"/>
        <v>953.9709707919144</v>
      </c>
      <c r="L109" s="128">
        <f>SUMIF($C$41:$C$53,$A106,L$41:L$53)</f>
        <v>345.47756978006913</v>
      </c>
      <c r="M109" s="128">
        <f t="shared" si="65"/>
        <v>45.919184125111968</v>
      </c>
      <c r="N109" s="128">
        <f t="shared" si="65"/>
        <v>509.38570236958083</v>
      </c>
      <c r="O109" s="128">
        <f t="shared" si="65"/>
        <v>52.001266076941683</v>
      </c>
      <c r="P109" s="128">
        <f>SUMIF($C$41:$C$53,$A106,P$41:P$53)</f>
        <v>173.33944611078888</v>
      </c>
      <c r="Q109" s="128">
        <f t="shared" si="65"/>
        <v>69.920851315870635</v>
      </c>
      <c r="R109" s="128">
        <f t="shared" si="65"/>
        <v>1575.663535536014</v>
      </c>
      <c r="S109" s="128">
        <f>SUMIF($C$41:$C$53,$A106,S$41:S$53)</f>
        <v>8.3684111249876754</v>
      </c>
      <c r="T109" s="128">
        <f t="shared" si="65"/>
        <v>451.59402093685185</v>
      </c>
      <c r="U109" s="128">
        <f t="shared" si="65"/>
        <v>469.66414963318999</v>
      </c>
      <c r="V109" s="128">
        <f t="shared" si="65"/>
        <v>139.89444675936357</v>
      </c>
      <c r="W109" s="128">
        <f>SUMIF($C$41:$C$53,$A106,W$41:W$53)</f>
        <v>3.8102374137799042E-3</v>
      </c>
      <c r="X109" s="145">
        <f t="shared" si="65"/>
        <v>363.91519854120554</v>
      </c>
    </row>
    <row r="110" spans="1:24" x14ac:dyDescent="0.25">
      <c r="A110" s="36"/>
      <c r="C110" s="24" t="s">
        <v>54</v>
      </c>
      <c r="D110" s="25" t="s">
        <v>29</v>
      </c>
      <c r="E110" s="26"/>
      <c r="F110" s="129">
        <f>SUM(G110:Z110)</f>
        <v>5485.9901252847676</v>
      </c>
      <c r="G110" s="128">
        <f>SUMIF($C$56:$C$68,$A106,G$56:G$68)</f>
        <v>334.46388201386367</v>
      </c>
      <c r="H110" s="128">
        <f t="shared" ref="H110:X110" si="66">SUMIF($C$56:$C$68,$A106,H$56:H$68)</f>
        <v>25.591195781966899</v>
      </c>
      <c r="I110" s="128">
        <f t="shared" si="66"/>
        <v>144.18640492229284</v>
      </c>
      <c r="J110" s="128">
        <f>SUMIF($C$56:$C$68,$A106,J$56:J$68)</f>
        <v>0</v>
      </c>
      <c r="K110" s="128">
        <f t="shared" si="66"/>
        <v>927.41905461156261</v>
      </c>
      <c r="L110" s="128">
        <f>SUMIF($C$56:$C$68,$A106,L$56:L$68)</f>
        <v>382.85838198121894</v>
      </c>
      <c r="M110" s="128">
        <f t="shared" si="66"/>
        <v>45.599053494713644</v>
      </c>
      <c r="N110" s="128">
        <f t="shared" si="66"/>
        <v>506.89448862574022</v>
      </c>
      <c r="O110" s="128">
        <f t="shared" si="66"/>
        <v>64.613778757615762</v>
      </c>
      <c r="P110" s="128">
        <f>SUMIF($C$56:$C$68,$A106,P$56:P$68)</f>
        <v>182.52909401146579</v>
      </c>
      <c r="Q110" s="128">
        <f t="shared" si="66"/>
        <v>69.109005478368999</v>
      </c>
      <c r="R110" s="128">
        <f t="shared" si="66"/>
        <v>1567.1885045071372</v>
      </c>
      <c r="S110" s="128">
        <f>SUMIF($C$56:$C$68,$A106,S$56:S$68)</f>
        <v>8.3061470347475908</v>
      </c>
      <c r="T110" s="128">
        <f t="shared" si="66"/>
        <v>205.19654095579827</v>
      </c>
      <c r="U110" s="128">
        <f t="shared" si="66"/>
        <v>466.35388374122874</v>
      </c>
      <c r="V110" s="128">
        <f t="shared" si="66"/>
        <v>139.39475018100845</v>
      </c>
      <c r="W110" s="128">
        <f>SUMIF($C$56:$C$68,$A106,W$56:W$68)</f>
        <v>3.7836733762873168E-3</v>
      </c>
      <c r="X110" s="145">
        <f t="shared" si="66"/>
        <v>416.28217551266175</v>
      </c>
    </row>
    <row r="111" spans="1:24" ht="12" thickBot="1" x14ac:dyDescent="0.3">
      <c r="A111" s="36"/>
      <c r="C111" s="96" t="s">
        <v>55</v>
      </c>
      <c r="D111" s="97" t="s">
        <v>29</v>
      </c>
      <c r="E111" s="98"/>
      <c r="F111" s="130">
        <f>SUM(G111:Z111)</f>
        <v>5756.1812674287539</v>
      </c>
      <c r="G111" s="131">
        <f>SUMIF($C$71:$C$83,$A106,G$71:G$83)</f>
        <v>331.84269339821407</v>
      </c>
      <c r="H111" s="131">
        <f t="shared" ref="H111:X111" si="67">SUMIF($C$71:$C$83,$A106,H$71:H$83)</f>
        <v>25.396962658189842</v>
      </c>
      <c r="I111" s="131">
        <f t="shared" si="67"/>
        <v>143.21196334775345</v>
      </c>
      <c r="J111" s="131">
        <f>SUMIF($C$71:$C$83,$A106,J$71:J$83)</f>
        <v>0</v>
      </c>
      <c r="K111" s="131">
        <f t="shared" si="67"/>
        <v>947.47646951972956</v>
      </c>
      <c r="L111" s="131">
        <f>SUMIF($C$71:$C$83,$A106,L$71:L$83)</f>
        <v>497.14890321507147</v>
      </c>
      <c r="M111" s="131">
        <f t="shared" si="67"/>
        <v>45.25294122302379</v>
      </c>
      <c r="N111" s="131">
        <f t="shared" si="67"/>
        <v>504.13158934815391</v>
      </c>
      <c r="O111" s="131">
        <f t="shared" si="67"/>
        <v>44.03415319961195</v>
      </c>
      <c r="P111" s="131">
        <f>SUMIF($C$71:$C$83,$A106,P$71:P$83)</f>
        <v>187.48440982744987</v>
      </c>
      <c r="Q111" s="131">
        <f t="shared" si="67"/>
        <v>68.26445428516223</v>
      </c>
      <c r="R111" s="131">
        <f t="shared" si="67"/>
        <v>1557.1075397026232</v>
      </c>
      <c r="S111" s="131">
        <f>SUMIF($C$71:$C$83,$A106,S$71:S$83)</f>
        <v>8.2392367291596429</v>
      </c>
      <c r="T111" s="131">
        <f t="shared" si="67"/>
        <v>345.85493708942863</v>
      </c>
      <c r="U111" s="131">
        <f t="shared" si="67"/>
        <v>462.79683696788828</v>
      </c>
      <c r="V111" s="131">
        <f t="shared" si="67"/>
        <v>139.46568076979278</v>
      </c>
      <c r="W111" s="131">
        <f>SUMIF($C$71:$C$83,$A106,W$71:W$83)</f>
        <v>3.7549539213322289E-3</v>
      </c>
      <c r="X111" s="146">
        <f t="shared" si="67"/>
        <v>448.46874119358063</v>
      </c>
    </row>
    <row r="112" spans="1:24" x14ac:dyDescent="0.25">
      <c r="A112" s="36"/>
    </row>
    <row r="113" spans="1:24" x14ac:dyDescent="0.25">
      <c r="A113" s="36"/>
    </row>
    <row r="114" spans="1:24" x14ac:dyDescent="0.25">
      <c r="A114" s="36"/>
    </row>
    <row r="115" spans="1:24" ht="12" thickBot="1" x14ac:dyDescent="0.3">
      <c r="A115" s="36" t="str">
        <f>C29</f>
        <v>Peel</v>
      </c>
      <c r="C115" s="28" t="str">
        <f>"Table 5: "&amp;A115&amp;" operating expenditure ($'000, $2025-26)"</f>
        <v>Table 5: Peel operating expenditure ($'000, $2025-26)</v>
      </c>
    </row>
    <row r="116" spans="1:24" ht="34.5" x14ac:dyDescent="0.25">
      <c r="A116" s="36"/>
      <c r="C116" s="29"/>
      <c r="D116" s="101"/>
      <c r="E116" s="52"/>
      <c r="F116" s="126" t="str">
        <f>$F$24</f>
        <v>Total</v>
      </c>
      <c r="G116" s="54" t="str">
        <f>$G$24</f>
        <v>Customer Support</v>
      </c>
      <c r="H116" s="54" t="str">
        <f>$H$24</f>
        <v>Customer Billing</v>
      </c>
      <c r="I116" s="54" t="str">
        <f>$I$24</f>
        <v>Metering and Compliance</v>
      </c>
      <c r="J116" s="54" t="str">
        <f>$J$24</f>
        <v>New Metering and Compliance</v>
      </c>
      <c r="K116" s="54" t="str">
        <f>$K$24</f>
        <v>Water Delivery and Other Operations</v>
      </c>
      <c r="L116" s="54" t="str">
        <f>$L$24</f>
        <v>Catchment Planning and Operations</v>
      </c>
      <c r="M116" s="54" t="str">
        <f>$M$24</f>
        <v>Flood Operations</v>
      </c>
      <c r="N116" s="54" t="str">
        <f>$N$24</f>
        <v>Hydrometric Monitoring</v>
      </c>
      <c r="O116" s="54" t="str">
        <f>$O$24</f>
        <v>Water Quality Monitoring</v>
      </c>
      <c r="P116" s="54" t="str">
        <f>$P$24</f>
        <v>Direct Insurances</v>
      </c>
      <c r="Q116" s="54" t="str">
        <f>$Q$24</f>
        <v>Corrective Maintenance</v>
      </c>
      <c r="R116" s="54" t="str">
        <f>$R$24</f>
        <v>Routine Maintenance</v>
      </c>
      <c r="S116" s="55" t="str">
        <f>$S$24</f>
        <v>Renewal and Replacement</v>
      </c>
      <c r="T116" s="54" t="str">
        <f>$T$24</f>
        <v>Asset management planning</v>
      </c>
      <c r="U116" s="54" t="str">
        <f>$U$24</f>
        <v>Dam Safety Compliance</v>
      </c>
      <c r="V116" s="54" t="str">
        <f>$V$24</f>
        <v>Environmental Planning and Protection</v>
      </c>
      <c r="W116" s="54" t="str">
        <f>$W$24</f>
        <v>Environmental Delivery</v>
      </c>
      <c r="X116" s="139" t="str">
        <f>$X$24</f>
        <v>Corporate Systems</v>
      </c>
    </row>
    <row r="117" spans="1:24" x14ac:dyDescent="0.25">
      <c r="A117" s="36"/>
      <c r="C117" s="24" t="s">
        <v>58</v>
      </c>
      <c r="D117" s="25" t="s">
        <v>29</v>
      </c>
      <c r="E117" s="37"/>
      <c r="F117" s="127">
        <f>SUM(G117:Z117)</f>
        <v>1485.0962723736195</v>
      </c>
      <c r="G117" s="128">
        <f>SUMIF($C$26:$C$38,$A115,G$26:G$38)</f>
        <v>267.28666987482353</v>
      </c>
      <c r="H117" s="128">
        <f t="shared" ref="H117:X117" si="68">SUMIF($C$26:$C$38,$A115,H$26:H$38)</f>
        <v>13.12235726088203</v>
      </c>
      <c r="I117" s="128">
        <f t="shared" si="68"/>
        <v>57.023945034017338</v>
      </c>
      <c r="J117" s="128">
        <f>SUMIF($C$26:$C$38,$A115,J$26:J$38)</f>
        <v>0</v>
      </c>
      <c r="K117" s="128">
        <f t="shared" si="68"/>
        <v>388.66375199232021</v>
      </c>
      <c r="L117" s="128">
        <f>SUMIF($C$26:$C$38,$A115,L$26:L$38)</f>
        <v>0</v>
      </c>
      <c r="M117" s="128">
        <f t="shared" si="68"/>
        <v>0</v>
      </c>
      <c r="N117" s="128">
        <f t="shared" si="68"/>
        <v>99.414848991075999</v>
      </c>
      <c r="O117" s="128">
        <f t="shared" si="68"/>
        <v>15.70940077454199</v>
      </c>
      <c r="P117" s="128">
        <f>SUMIF($C$26:$C$38,$A115,P$26:P$38)</f>
        <v>41.640175702607657</v>
      </c>
      <c r="Q117" s="128">
        <f t="shared" si="68"/>
        <v>44.202095088744457</v>
      </c>
      <c r="R117" s="128">
        <f t="shared" si="68"/>
        <v>212.50882155451689</v>
      </c>
      <c r="S117" s="128">
        <f>SUMIF($C$26:$C$38,$A115,S$26:S$38)</f>
        <v>0.30621743368079923</v>
      </c>
      <c r="T117" s="128">
        <f t="shared" si="68"/>
        <v>54.062651846418078</v>
      </c>
      <c r="U117" s="128">
        <f t="shared" si="68"/>
        <v>219.44910834891968</v>
      </c>
      <c r="V117" s="128">
        <f t="shared" si="68"/>
        <v>7.4368721558529103</v>
      </c>
      <c r="W117" s="128">
        <f>SUMIF($C$26:$C$38,$A115,W$26:W$38)</f>
        <v>0</v>
      </c>
      <c r="X117" s="145">
        <f t="shared" si="68"/>
        <v>64.26935631521782</v>
      </c>
    </row>
    <row r="118" spans="1:24" x14ac:dyDescent="0.25">
      <c r="A118" s="36"/>
      <c r="C118" s="24" t="s">
        <v>53</v>
      </c>
      <c r="D118" s="25" t="s">
        <v>29</v>
      </c>
      <c r="E118" s="26"/>
      <c r="F118" s="129">
        <f>SUM(G118:Z118)</f>
        <v>2887.7870552571339</v>
      </c>
      <c r="G118" s="128">
        <f>SUMIF($C$41:$C$53,$A115,G$41:G$53)</f>
        <v>241.1300894500304</v>
      </c>
      <c r="H118" s="128">
        <f t="shared" ref="H118:X118" si="69">SUMIF($C$41:$C$53,$A115,H$41:H$53)</f>
        <v>7.5281575640579685</v>
      </c>
      <c r="I118" s="128">
        <f t="shared" si="69"/>
        <v>274.18857526934084</v>
      </c>
      <c r="J118" s="128">
        <f>SUMIF($C$41:$C$53,$A115,J$41:J$53)</f>
        <v>0</v>
      </c>
      <c r="K118" s="128">
        <f t="shared" si="69"/>
        <v>768.49307439300833</v>
      </c>
      <c r="L118" s="128">
        <f>SUMIF($C$41:$C$53,$A115,L$41:L$53)</f>
        <v>194.64702165895625</v>
      </c>
      <c r="M118" s="128">
        <f t="shared" si="69"/>
        <v>0</v>
      </c>
      <c r="N118" s="128">
        <f t="shared" si="69"/>
        <v>108.75312480429926</v>
      </c>
      <c r="O118" s="128">
        <f t="shared" si="69"/>
        <v>21.630769224254824</v>
      </c>
      <c r="P118" s="128">
        <f>SUMIF($C$41:$C$53,$A115,P$41:P$53)</f>
        <v>55.172121391686531</v>
      </c>
      <c r="Q118" s="128">
        <f t="shared" si="69"/>
        <v>43.155523132356507</v>
      </c>
      <c r="R118" s="128">
        <f t="shared" si="69"/>
        <v>324.16535678634591</v>
      </c>
      <c r="S118" s="128">
        <f>SUMIF($C$41:$C$53,$A115,S$41:S$53)</f>
        <v>2.7894776695558736</v>
      </c>
      <c r="T118" s="128">
        <f t="shared" si="69"/>
        <v>529.29379775874588</v>
      </c>
      <c r="U118" s="128">
        <f t="shared" si="69"/>
        <v>187.30384225220641</v>
      </c>
      <c r="V118" s="128">
        <f t="shared" si="69"/>
        <v>0</v>
      </c>
      <c r="W118" s="128">
        <f>SUMIF($C$41:$C$53,$A115,W$41:W$53)</f>
        <v>1.1145284230557149E-3</v>
      </c>
      <c r="X118" s="145">
        <f t="shared" si="69"/>
        <v>129.53500937386593</v>
      </c>
    </row>
    <row r="119" spans="1:24" x14ac:dyDescent="0.25">
      <c r="A119" s="36"/>
      <c r="C119" s="24" t="s">
        <v>54</v>
      </c>
      <c r="D119" s="25" t="s">
        <v>29</v>
      </c>
      <c r="E119" s="26"/>
      <c r="F119" s="129">
        <f>SUM(G119:Z119)</f>
        <v>2691.8988687885003</v>
      </c>
      <c r="G119" s="128">
        <f t="shared" ref="G119:X119" si="70">SUMIF($C$56:$C$68,$A115,G$56:G$68)</f>
        <v>221.83637281053782</v>
      </c>
      <c r="H119" s="128">
        <f t="shared" si="70"/>
        <v>7.4756853929483462</v>
      </c>
      <c r="I119" s="128">
        <f t="shared" si="70"/>
        <v>272.75637061905547</v>
      </c>
      <c r="J119" s="128">
        <f>SUMIF($C$56:$C$68,$A115,J$56:J$68)</f>
        <v>0</v>
      </c>
      <c r="K119" s="128">
        <f t="shared" si="70"/>
        <v>748.29907110003637</v>
      </c>
      <c r="L119" s="128">
        <f>SUMIF($C$56:$C$68,$A115,L$56:L$68)</f>
        <v>207.21220654483301</v>
      </c>
      <c r="M119" s="128">
        <f t="shared" si="70"/>
        <v>0</v>
      </c>
      <c r="N119" s="128">
        <f t="shared" si="70"/>
        <v>108.14713935006691</v>
      </c>
      <c r="O119" s="128">
        <f t="shared" si="70"/>
        <v>26.877136657025517</v>
      </c>
      <c r="P119" s="128">
        <f>SUMIF($C$56:$C$68,$A115,P$56:P$68)</f>
        <v>58.162492947195936</v>
      </c>
      <c r="Q119" s="128">
        <f t="shared" si="70"/>
        <v>42.654486881323578</v>
      </c>
      <c r="R119" s="128">
        <f t="shared" si="70"/>
        <v>321.15434993190388</v>
      </c>
      <c r="S119" s="128">
        <f>SUMIF($C$56:$C$68,$A115,S$56:S$68)</f>
        <v>2.7687178528831486</v>
      </c>
      <c r="T119" s="128">
        <f t="shared" si="70"/>
        <v>341.64800115726678</v>
      </c>
      <c r="U119" s="128">
        <f t="shared" si="70"/>
        <v>185.81587650544037</v>
      </c>
      <c r="V119" s="128">
        <f t="shared" si="70"/>
        <v>0</v>
      </c>
      <c r="W119" s="128">
        <f>SUMIF($C$56:$C$68,$A115,W$56:W$68)</f>
        <v>1.1067582051922471E-3</v>
      </c>
      <c r="X119" s="145">
        <f t="shared" si="70"/>
        <v>147.08985427977831</v>
      </c>
    </row>
    <row r="120" spans="1:24" ht="12" thickBot="1" x14ac:dyDescent="0.3">
      <c r="A120" s="36"/>
      <c r="C120" s="96" t="s">
        <v>55</v>
      </c>
      <c r="D120" s="97" t="s">
        <v>29</v>
      </c>
      <c r="E120" s="98"/>
      <c r="F120" s="130">
        <f>SUM(G120:Z120)</f>
        <v>2995.4057231518659</v>
      </c>
      <c r="G120" s="131">
        <f t="shared" ref="G120:X120" si="71">SUMIF($C$71:$C$83,$A115,G$71:G$83)</f>
        <v>220.05763193180016</v>
      </c>
      <c r="H120" s="131">
        <f t="shared" si="71"/>
        <v>7.4189365288563129</v>
      </c>
      <c r="I120" s="131">
        <f t="shared" si="71"/>
        <v>270.57614437332995</v>
      </c>
      <c r="J120" s="131">
        <f>SUMIF($C$71:$C$83,$A115,J$71:J$83)</f>
        <v>0</v>
      </c>
      <c r="K120" s="131">
        <f t="shared" si="71"/>
        <v>770.26137888176061</v>
      </c>
      <c r="L120" s="131">
        <f>SUMIF($C$71:$C$83,$A115,L$71:L$83)</f>
        <v>259.8518846300849</v>
      </c>
      <c r="M120" s="131">
        <f t="shared" si="71"/>
        <v>0</v>
      </c>
      <c r="N120" s="131">
        <f t="shared" si="71"/>
        <v>107.60252386345702</v>
      </c>
      <c r="O120" s="131">
        <f t="shared" si="71"/>
        <v>18.316733869663182</v>
      </c>
      <c r="P120" s="131">
        <f>SUMIF($C$71:$C$83,$A115,P$71:P$83)</f>
        <v>59.791913030938474</v>
      </c>
      <c r="Q120" s="131">
        <f t="shared" si="71"/>
        <v>42.133173743167887</v>
      </c>
      <c r="R120" s="131">
        <f t="shared" si="71"/>
        <v>317.99039502188322</v>
      </c>
      <c r="S120" s="131">
        <f>SUMIF($C$71:$C$83,$A115,S$71:S$83)</f>
        <v>2.7464080247216729</v>
      </c>
      <c r="T120" s="131">
        <f t="shared" si="71"/>
        <v>578.07461185652096</v>
      </c>
      <c r="U120" s="131">
        <f t="shared" si="71"/>
        <v>184.23382678086392</v>
      </c>
      <c r="V120" s="131">
        <f t="shared" si="71"/>
        <v>0</v>
      </c>
      <c r="W120" s="131">
        <f>SUMIF($C$71:$C$83,$A115,W$71:W$83)</f>
        <v>1.0983575084990821E-3</v>
      </c>
      <c r="X120" s="146">
        <f t="shared" si="71"/>
        <v>156.34906225730896</v>
      </c>
    </row>
    <row r="121" spans="1:24" x14ac:dyDescent="0.25">
      <c r="A121" s="36"/>
    </row>
    <row r="122" spans="1:24" x14ac:dyDescent="0.25">
      <c r="A122" s="36"/>
    </row>
    <row r="123" spans="1:24" x14ac:dyDescent="0.25">
      <c r="A123" s="36"/>
    </row>
    <row r="124" spans="1:24" ht="12" thickBot="1" x14ac:dyDescent="0.3">
      <c r="A124" s="36" t="str">
        <f>C30</f>
        <v>Lachlan</v>
      </c>
      <c r="C124" s="28" t="str">
        <f>"Table 6: "&amp;A124&amp;" operating expenditure ($'000, $2025-26)"</f>
        <v>Table 6: Lachlan operating expenditure ($'000, $2025-26)</v>
      </c>
    </row>
    <row r="125" spans="1:24" ht="34.5" x14ac:dyDescent="0.25">
      <c r="A125" s="36"/>
      <c r="C125" s="29"/>
      <c r="D125" s="101"/>
      <c r="E125" s="52"/>
      <c r="F125" s="126" t="str">
        <f>$F$24</f>
        <v>Total</v>
      </c>
      <c r="G125" s="54" t="str">
        <f>$G$24</f>
        <v>Customer Support</v>
      </c>
      <c r="H125" s="54" t="str">
        <f>$H$24</f>
        <v>Customer Billing</v>
      </c>
      <c r="I125" s="54" t="str">
        <f>$I$24</f>
        <v>Metering and Compliance</v>
      </c>
      <c r="J125" s="54" t="str">
        <f>$J$24</f>
        <v>New Metering and Compliance</v>
      </c>
      <c r="K125" s="54" t="str">
        <f>$K$24</f>
        <v>Water Delivery and Other Operations</v>
      </c>
      <c r="L125" s="54" t="str">
        <f>$L$24</f>
        <v>Catchment Planning and Operations</v>
      </c>
      <c r="M125" s="54" t="str">
        <f>$M$24</f>
        <v>Flood Operations</v>
      </c>
      <c r="N125" s="54" t="str">
        <f>$N$24</f>
        <v>Hydrometric Monitoring</v>
      </c>
      <c r="O125" s="54" t="str">
        <f>$O$24</f>
        <v>Water Quality Monitoring</v>
      </c>
      <c r="P125" s="54" t="str">
        <f>$P$24</f>
        <v>Direct Insurances</v>
      </c>
      <c r="Q125" s="54" t="str">
        <f>$Q$24</f>
        <v>Corrective Maintenance</v>
      </c>
      <c r="R125" s="54" t="str">
        <f>$R$24</f>
        <v>Routine Maintenance</v>
      </c>
      <c r="S125" s="55" t="str">
        <f>$S$24</f>
        <v>Renewal and Replacement</v>
      </c>
      <c r="T125" s="54" t="str">
        <f>$T$24</f>
        <v>Asset management planning</v>
      </c>
      <c r="U125" s="54" t="str">
        <f>$U$24</f>
        <v>Dam Safety Compliance</v>
      </c>
      <c r="V125" s="54" t="str">
        <f>$V$24</f>
        <v>Environmental Planning and Protection</v>
      </c>
      <c r="W125" s="54" t="str">
        <f>$W$24</f>
        <v>Environmental Delivery</v>
      </c>
      <c r="X125" s="139" t="str">
        <f>$X$24</f>
        <v>Corporate Systems</v>
      </c>
    </row>
    <row r="126" spans="1:24" x14ac:dyDescent="0.25">
      <c r="A126" s="36"/>
      <c r="C126" s="24" t="s">
        <v>58</v>
      </c>
      <c r="D126" s="25" t="s">
        <v>29</v>
      </c>
      <c r="E126" s="37"/>
      <c r="F126" s="127">
        <f>SUM(G126:Z126)</f>
        <v>7533.3116221451328</v>
      </c>
      <c r="G126" s="128">
        <f t="shared" ref="G126:X126" si="72">SUMIF($C$26:$C$38,$A124,G$26:G$38)</f>
        <v>146.09713018082817</v>
      </c>
      <c r="H126" s="128">
        <f t="shared" si="72"/>
        <v>53.546406020792908</v>
      </c>
      <c r="I126" s="128">
        <f t="shared" si="72"/>
        <v>300.71526108887036</v>
      </c>
      <c r="J126" s="128">
        <f>SUMIF($C$26:$C$38,$A124,J$26:J$38)</f>
        <v>0</v>
      </c>
      <c r="K126" s="128">
        <f t="shared" si="72"/>
        <v>1227.7824151955547</v>
      </c>
      <c r="L126" s="128">
        <f>SUMIF($C$26:$C$38,$A124,L$26:L$38)</f>
        <v>0</v>
      </c>
      <c r="M126" s="128">
        <f t="shared" si="72"/>
        <v>162.36387923341914</v>
      </c>
      <c r="N126" s="128">
        <f t="shared" si="72"/>
        <v>761.3221333622746</v>
      </c>
      <c r="O126" s="128">
        <f t="shared" si="72"/>
        <v>185.23493925265598</v>
      </c>
      <c r="P126" s="128">
        <f>SUMIF($C$26:$C$38,$A124,P$26:P$38)</f>
        <v>104.80910487932438</v>
      </c>
      <c r="Q126" s="128">
        <f t="shared" si="72"/>
        <v>425.9989918985363</v>
      </c>
      <c r="R126" s="128">
        <f t="shared" si="72"/>
        <v>2393.4342696443059</v>
      </c>
      <c r="S126" s="128">
        <f>SUMIF($C$26:$C$38,$A124,S$26:S$38)</f>
        <v>231.12916753096246</v>
      </c>
      <c r="T126" s="128">
        <f t="shared" si="72"/>
        <v>639.90099264922583</v>
      </c>
      <c r="U126" s="128">
        <f t="shared" si="72"/>
        <v>547.70874611268641</v>
      </c>
      <c r="V126" s="128">
        <f t="shared" si="72"/>
        <v>101.23448010496821</v>
      </c>
      <c r="W126" s="128">
        <f>SUMIF($C$26:$C$38,$A124,W$26:W$38)</f>
        <v>0</v>
      </c>
      <c r="X126" s="145">
        <f t="shared" si="72"/>
        <v>252.03370499072736</v>
      </c>
    </row>
    <row r="127" spans="1:24" x14ac:dyDescent="0.25">
      <c r="A127" s="36"/>
      <c r="C127" s="24" t="s">
        <v>53</v>
      </c>
      <c r="D127" s="25" t="s">
        <v>29</v>
      </c>
      <c r="E127" s="26"/>
      <c r="F127" s="129">
        <f>SUM(G127:Z127)</f>
        <v>7658.7991111700894</v>
      </c>
      <c r="G127" s="128">
        <f t="shared" ref="G127:X127" si="73">SUMIF($C$41:$C$53,$A124,G$41:G$53)</f>
        <v>428.11399400422385</v>
      </c>
      <c r="H127" s="128">
        <f t="shared" si="73"/>
        <v>60.750542321541765</v>
      </c>
      <c r="I127" s="128">
        <f t="shared" si="73"/>
        <v>28.476836469800265</v>
      </c>
      <c r="J127" s="128">
        <f>SUMIF($C$41:$C$53,$A124,J$41:J$53)</f>
        <v>0</v>
      </c>
      <c r="K127" s="128">
        <f t="shared" si="73"/>
        <v>1443.2956684059232</v>
      </c>
      <c r="L127" s="128">
        <f>SUMIF($C$41:$C$53,$A124,L$41:L$53)</f>
        <v>214.44559900644774</v>
      </c>
      <c r="M127" s="128">
        <f t="shared" si="73"/>
        <v>45.943852328829237</v>
      </c>
      <c r="N127" s="128">
        <f t="shared" si="73"/>
        <v>1058.5599968185757</v>
      </c>
      <c r="O127" s="128">
        <f t="shared" si="73"/>
        <v>200.63828837675123</v>
      </c>
      <c r="P127" s="128">
        <f>SUMIF($C$41:$C$53,$A124,P$41:P$53)</f>
        <v>244.07617425198239</v>
      </c>
      <c r="Q127" s="128">
        <f t="shared" si="73"/>
        <v>428.48181835703986</v>
      </c>
      <c r="R127" s="128">
        <f t="shared" si="73"/>
        <v>1806.4186715186304</v>
      </c>
      <c r="S127" s="128">
        <f>SUMIF($C$41:$C$53,$A124,S$41:S$53)</f>
        <v>2.7894776695558736</v>
      </c>
      <c r="T127" s="128">
        <f t="shared" si="73"/>
        <v>639.90746609273288</v>
      </c>
      <c r="U127" s="128">
        <f t="shared" si="73"/>
        <v>610.7608543477711</v>
      </c>
      <c r="V127" s="128">
        <f t="shared" si="73"/>
        <v>0</v>
      </c>
      <c r="W127" s="128">
        <f>SUMIF($C$41:$C$53,$A124,W$41:W$53)</f>
        <v>5.4865606517092306E-3</v>
      </c>
      <c r="X127" s="145">
        <f t="shared" si="73"/>
        <v>446.13438463963286</v>
      </c>
    </row>
    <row r="128" spans="1:24" x14ac:dyDescent="0.25">
      <c r="A128" s="36"/>
      <c r="C128" s="24" t="s">
        <v>54</v>
      </c>
      <c r="D128" s="25" t="s">
        <v>29</v>
      </c>
      <c r="E128" s="26"/>
      <c r="F128" s="129">
        <f>SUM(G128:Z128)</f>
        <v>7138.3222415517876</v>
      </c>
      <c r="G128" s="128">
        <f t="shared" ref="G128:X128" si="74">SUMIF($C$56:$C$68,$A124,G$56:G$68)</f>
        <v>393.68543581159582</v>
      </c>
      <c r="H128" s="128">
        <f t="shared" si="74"/>
        <v>60.326984127178612</v>
      </c>
      <c r="I128" s="128">
        <f t="shared" si="74"/>
        <v>27.751985248594728</v>
      </c>
      <c r="J128" s="128">
        <f>SUMIF($C$56:$C$68,$A124,J$56:J$68)</f>
        <v>0</v>
      </c>
      <c r="K128" s="128">
        <f t="shared" si="74"/>
        <v>1404.8194171584944</v>
      </c>
      <c r="L128" s="128">
        <f>SUMIF($C$56:$C$68,$A124,L$56:L$68)</f>
        <v>227.65740467880789</v>
      </c>
      <c r="M128" s="128">
        <f t="shared" si="74"/>
        <v>45.623527395660936</v>
      </c>
      <c r="N128" s="128">
        <f t="shared" si="74"/>
        <v>1050.9917641940124</v>
      </c>
      <c r="O128" s="128">
        <f t="shared" si="74"/>
        <v>250.48580489912348</v>
      </c>
      <c r="P128" s="128">
        <f>SUMIF($C$56:$C$68,$A124,P$56:P$68)</f>
        <v>256.59246450734457</v>
      </c>
      <c r="Q128" s="128">
        <f t="shared" si="74"/>
        <v>425.08368217214451</v>
      </c>
      <c r="R128" s="128">
        <f t="shared" si="74"/>
        <v>1796.1552972221866</v>
      </c>
      <c r="S128" s="128">
        <f>SUMIF($C$56:$C$68,$A124,S$56:S$68)</f>
        <v>2.7687178528831486</v>
      </c>
      <c r="T128" s="128">
        <f t="shared" si="74"/>
        <v>81.744031144293814</v>
      </c>
      <c r="U128" s="128">
        <f t="shared" si="74"/>
        <v>608.03933105273597</v>
      </c>
      <c r="V128" s="128">
        <f t="shared" si="74"/>
        <v>0</v>
      </c>
      <c r="W128" s="128">
        <f>SUMIF($C$56:$C$68,$A124,W$56:W$68)</f>
        <v>5.4483097011699642E-3</v>
      </c>
      <c r="X128" s="145">
        <f t="shared" si="74"/>
        <v>506.59094577702876</v>
      </c>
    </row>
    <row r="129" spans="1:24" ht="12" thickBot="1" x14ac:dyDescent="0.3">
      <c r="A129" s="36"/>
      <c r="C129" s="96" t="s">
        <v>55</v>
      </c>
      <c r="D129" s="97" t="s">
        <v>29</v>
      </c>
      <c r="E129" s="98"/>
      <c r="F129" s="130">
        <f>SUM(G129:Z129)</f>
        <v>7205.1158803189919</v>
      </c>
      <c r="G129" s="131">
        <f t="shared" ref="G129:X129" si="75">SUMIF($C$71:$C$83,$A124,G$71:G$83)</f>
        <v>390.71456921662553</v>
      </c>
      <c r="H129" s="131">
        <f t="shared" si="75"/>
        <v>59.869115783151045</v>
      </c>
      <c r="I129" s="131">
        <f t="shared" si="75"/>
        <v>27.922797393321268</v>
      </c>
      <c r="J129" s="131">
        <f>SUMIF($C$71:$C$83,$A124,J$71:J$83)</f>
        <v>0</v>
      </c>
      <c r="K129" s="131">
        <f t="shared" si="75"/>
        <v>1436.913042065891</v>
      </c>
      <c r="L129" s="131">
        <f>SUMIF($C$71:$C$83,$A124,L$71:L$83)</f>
        <v>278.05394992771181</v>
      </c>
      <c r="M129" s="131">
        <f t="shared" si="75"/>
        <v>45.277245889825778</v>
      </c>
      <c r="N129" s="131">
        <f t="shared" si="75"/>
        <v>1042.9097825783037</v>
      </c>
      <c r="O129" s="131">
        <f t="shared" si="75"/>
        <v>171.51537741959817</v>
      </c>
      <c r="P129" s="131">
        <f>SUMIF($C$71:$C$83,$A124,P$71:P$83)</f>
        <v>263.23199043227493</v>
      </c>
      <c r="Q129" s="131">
        <f t="shared" si="75"/>
        <v>421.45161514266471</v>
      </c>
      <c r="R129" s="131">
        <f t="shared" si="75"/>
        <v>1783.5565185703365</v>
      </c>
      <c r="S129" s="131">
        <f>SUMIF($C$71:$C$83,$A124,S$71:S$83)</f>
        <v>2.7464080247216729</v>
      </c>
      <c r="T129" s="131">
        <f t="shared" si="75"/>
        <v>138.17648149607996</v>
      </c>
      <c r="U129" s="131">
        <f t="shared" si="75"/>
        <v>604.9573186309533</v>
      </c>
      <c r="V129" s="131">
        <f t="shared" si="75"/>
        <v>0</v>
      </c>
      <c r="W129" s="131">
        <f>SUMIF($C$71:$C$83,$A124,W$71:W$83)</f>
        <v>5.406955052001579E-3</v>
      </c>
      <c r="X129" s="146">
        <f t="shared" si="75"/>
        <v>537.81426079248058</v>
      </c>
    </row>
    <row r="130" spans="1:24" x14ac:dyDescent="0.25">
      <c r="A130" s="36"/>
    </row>
    <row r="131" spans="1:24" x14ac:dyDescent="0.25">
      <c r="A131" s="36"/>
    </row>
    <row r="132" spans="1:24" x14ac:dyDescent="0.25">
      <c r="A132" s="36"/>
    </row>
    <row r="133" spans="1:24" ht="12" thickBot="1" x14ac:dyDescent="0.3">
      <c r="A133" s="36" t="str">
        <f>C31</f>
        <v>Macquarie</v>
      </c>
      <c r="C133" s="28" t="str">
        <f>"Table 7: "&amp;A133&amp;" operating expenditure ($'000, $2025-26)"</f>
        <v>Table 7: Macquarie operating expenditure ($'000, $2025-26)</v>
      </c>
    </row>
    <row r="134" spans="1:24" ht="34.5" x14ac:dyDescent="0.25">
      <c r="A134" s="36"/>
      <c r="C134" s="29"/>
      <c r="D134" s="101"/>
      <c r="E134" s="52"/>
      <c r="F134" s="126" t="str">
        <f>$F$24</f>
        <v>Total</v>
      </c>
      <c r="G134" s="54" t="str">
        <f>$G$24</f>
        <v>Customer Support</v>
      </c>
      <c r="H134" s="54" t="str">
        <f>$H$24</f>
        <v>Customer Billing</v>
      </c>
      <c r="I134" s="54" t="str">
        <f>$I$24</f>
        <v>Metering and Compliance</v>
      </c>
      <c r="J134" s="54" t="str">
        <f>$J$24</f>
        <v>New Metering and Compliance</v>
      </c>
      <c r="K134" s="54" t="str">
        <f>$K$24</f>
        <v>Water Delivery and Other Operations</v>
      </c>
      <c r="L134" s="54" t="str">
        <f>$L$24</f>
        <v>Catchment Planning and Operations</v>
      </c>
      <c r="M134" s="54" t="str">
        <f>$M$24</f>
        <v>Flood Operations</v>
      </c>
      <c r="N134" s="54" t="str">
        <f>$N$24</f>
        <v>Hydrometric Monitoring</v>
      </c>
      <c r="O134" s="54" t="str">
        <f>$O$24</f>
        <v>Water Quality Monitoring</v>
      </c>
      <c r="P134" s="54" t="str">
        <f>$P$24</f>
        <v>Direct Insurances</v>
      </c>
      <c r="Q134" s="54" t="str">
        <f>$Q$24</f>
        <v>Corrective Maintenance</v>
      </c>
      <c r="R134" s="54" t="str">
        <f>$R$24</f>
        <v>Routine Maintenance</v>
      </c>
      <c r="S134" s="55" t="str">
        <f>$S$24</f>
        <v>Renewal and Replacement</v>
      </c>
      <c r="T134" s="54" t="str">
        <f>$T$24</f>
        <v>Asset management planning</v>
      </c>
      <c r="U134" s="54" t="str">
        <f>$U$24</f>
        <v>Dam Safety Compliance</v>
      </c>
      <c r="V134" s="54" t="str">
        <f>$V$24</f>
        <v>Environmental Planning and Protection</v>
      </c>
      <c r="W134" s="54" t="str">
        <f>$W$24</f>
        <v>Environmental Delivery</v>
      </c>
      <c r="X134" s="139" t="str">
        <f>$X$24</f>
        <v>Corporate Systems</v>
      </c>
    </row>
    <row r="135" spans="1:24" x14ac:dyDescent="0.25">
      <c r="A135" s="36"/>
      <c r="C135" s="24" t="s">
        <v>58</v>
      </c>
      <c r="D135" s="25" t="s">
        <v>29</v>
      </c>
      <c r="E135" s="37"/>
      <c r="F135" s="127">
        <f>SUM(G135:Z135)</f>
        <v>6935.9564556278729</v>
      </c>
      <c r="G135" s="128">
        <f t="shared" ref="G135:X135" si="76">SUMIF($C$26:$C$38,$A133,G$26:G$38)</f>
        <v>197.02915644273565</v>
      </c>
      <c r="H135" s="128">
        <f t="shared" si="76"/>
        <v>58.027554120469631</v>
      </c>
      <c r="I135" s="128">
        <f t="shared" si="76"/>
        <v>109.84054454994724</v>
      </c>
      <c r="J135" s="128">
        <f>SUMIF($C$26:$C$38,$A133,J$26:J$38)</f>
        <v>0</v>
      </c>
      <c r="K135" s="128">
        <f t="shared" si="76"/>
        <v>1015.8590169563481</v>
      </c>
      <c r="L135" s="128">
        <f>SUMIF($C$26:$C$38,$A133,L$26:L$38)</f>
        <v>0</v>
      </c>
      <c r="M135" s="128">
        <f t="shared" si="76"/>
        <v>174.82232239043319</v>
      </c>
      <c r="N135" s="128">
        <f t="shared" si="76"/>
        <v>629.99762200359248</v>
      </c>
      <c r="O135" s="128">
        <f t="shared" si="76"/>
        <v>56.060710970820992</v>
      </c>
      <c r="P135" s="128">
        <f>SUMIF($C$26:$C$38,$A133,P$26:P$38)</f>
        <v>205.28486414466616</v>
      </c>
      <c r="Q135" s="128">
        <f t="shared" si="76"/>
        <v>127.69630663988666</v>
      </c>
      <c r="R135" s="128">
        <f t="shared" si="76"/>
        <v>2788.1059321680141</v>
      </c>
      <c r="S135" s="128">
        <f>SUMIF($C$26:$C$38,$A133,S$26:S$38)</f>
        <v>2.6230475360955725</v>
      </c>
      <c r="T135" s="128">
        <f t="shared" si="76"/>
        <v>434.97489045226962</v>
      </c>
      <c r="U135" s="128">
        <f t="shared" si="76"/>
        <v>599.8846923123109</v>
      </c>
      <c r="V135" s="128">
        <f t="shared" si="76"/>
        <v>66.340542065913823</v>
      </c>
      <c r="W135" s="128">
        <f>SUMIF($C$26:$C$38,$A133,W$26:W$38)</f>
        <v>74.197298168122614</v>
      </c>
      <c r="X135" s="145">
        <f t="shared" si="76"/>
        <v>395.21195470624644</v>
      </c>
    </row>
    <row r="136" spans="1:24" x14ac:dyDescent="0.25">
      <c r="A136" s="36"/>
      <c r="C136" s="24" t="s">
        <v>53</v>
      </c>
      <c r="D136" s="25" t="s">
        <v>29</v>
      </c>
      <c r="E136" s="26"/>
      <c r="F136" s="129">
        <f>SUM(G136:Z136)</f>
        <v>5426.1156196617994</v>
      </c>
      <c r="G136" s="128">
        <f t="shared" ref="G136:X136" si="77">SUMIF($C$41:$C$53,$A133,G$41:G$53)</f>
        <v>427.16647992206316</v>
      </c>
      <c r="H136" s="128">
        <f t="shared" si="77"/>
        <v>53.677584473425746</v>
      </c>
      <c r="I136" s="128">
        <f t="shared" si="77"/>
        <v>298.17381040936624</v>
      </c>
      <c r="J136" s="128">
        <f>SUMIF($C$41:$C$53,$A133,J$41:J$53)</f>
        <v>0</v>
      </c>
      <c r="K136" s="128">
        <f t="shared" si="77"/>
        <v>491.19443146334623</v>
      </c>
      <c r="L136" s="128">
        <f>SUMIF($C$41:$C$53,$A133,L$41:L$53)</f>
        <v>371.23346762013108</v>
      </c>
      <c r="M136" s="128">
        <f t="shared" si="77"/>
        <v>35.447774669191155</v>
      </c>
      <c r="N136" s="128">
        <f t="shared" si="77"/>
        <v>404.70364781625932</v>
      </c>
      <c r="O136" s="128">
        <f t="shared" si="77"/>
        <v>68.617531969406244</v>
      </c>
      <c r="P136" s="128">
        <f>SUMIF($C$41:$C$53,$A133,P$41:P$53)</f>
        <v>269.57631391892824</v>
      </c>
      <c r="Q136" s="128">
        <f t="shared" si="77"/>
        <v>174.55449497582751</v>
      </c>
      <c r="R136" s="128">
        <f t="shared" si="77"/>
        <v>1214.2649569627201</v>
      </c>
      <c r="S136" s="128">
        <f>SUMIF($C$41:$C$53,$A133,S$41:S$53)</f>
        <v>5.9359948429055516</v>
      </c>
      <c r="T136" s="128">
        <f t="shared" si="77"/>
        <v>1053.9151725042864</v>
      </c>
      <c r="U136" s="128">
        <f t="shared" si="77"/>
        <v>10.949812678310721</v>
      </c>
      <c r="V136" s="128">
        <f t="shared" si="77"/>
        <v>0</v>
      </c>
      <c r="W136" s="128">
        <f>SUMIF($C$41:$C$53,$A133,W$41:W$53)</f>
        <v>3.4328317059674744</v>
      </c>
      <c r="X136" s="145">
        <f t="shared" si="77"/>
        <v>543.27131372966528</v>
      </c>
    </row>
    <row r="137" spans="1:24" x14ac:dyDescent="0.25">
      <c r="A137" s="36"/>
      <c r="C137" s="24" t="s">
        <v>54</v>
      </c>
      <c r="D137" s="25" t="s">
        <v>29</v>
      </c>
      <c r="E137" s="26"/>
      <c r="F137" s="129">
        <f>SUM(G137:Z137)</f>
        <v>5485.7789003492462</v>
      </c>
      <c r="G137" s="128">
        <f t="shared" ref="G137:X137" si="78">SUMIF($C$56:$C$68,$A133,G$56:G$68)</f>
        <v>392.84332044416294</v>
      </c>
      <c r="H137" s="128">
        <f t="shared" si="78"/>
        <v>53.303373165668091</v>
      </c>
      <c r="I137" s="128">
        <f t="shared" si="78"/>
        <v>295.97461395869112</v>
      </c>
      <c r="J137" s="128">
        <f>SUMIF($C$56:$C$68,$A133,J$56:J$68)</f>
        <v>0</v>
      </c>
      <c r="K137" s="128">
        <f t="shared" si="78"/>
        <v>477.69597567927292</v>
      </c>
      <c r="L137" s="128">
        <f>SUMIF($C$56:$C$68,$A133,L$56:L$68)</f>
        <v>398.49077348393894</v>
      </c>
      <c r="M137" s="128">
        <f t="shared" si="78"/>
        <v>35.200652697601328</v>
      </c>
      <c r="N137" s="128">
        <f t="shared" si="78"/>
        <v>402.26816956006735</v>
      </c>
      <c r="O137" s="128">
        <f t="shared" si="78"/>
        <v>85.260335526401718</v>
      </c>
      <c r="P137" s="128">
        <f>SUMIF($C$56:$C$68,$A133,P$56:P$68)</f>
        <v>283.00402621930084</v>
      </c>
      <c r="Q137" s="128">
        <f t="shared" si="78"/>
        <v>172.75358797560338</v>
      </c>
      <c r="R137" s="128">
        <f t="shared" si="78"/>
        <v>1205.9658637398591</v>
      </c>
      <c r="S137" s="128">
        <f>SUMIF($C$56:$C$68,$A133,S$56:S$68)</f>
        <v>5.8918358880120314</v>
      </c>
      <c r="T137" s="128">
        <f t="shared" si="78"/>
        <v>1046.9592382516514</v>
      </c>
      <c r="U137" s="128">
        <f t="shared" si="78"/>
        <v>10.797436135302794</v>
      </c>
      <c r="V137" s="128">
        <f t="shared" si="78"/>
        <v>0</v>
      </c>
      <c r="W137" s="128">
        <f>SUMIF($C$56:$C$68,$A133,W$56:W$68)</f>
        <v>3.4088988481845788</v>
      </c>
      <c r="X137" s="145">
        <f t="shared" si="78"/>
        <v>615.96079877552859</v>
      </c>
    </row>
    <row r="138" spans="1:24" ht="12" thickBot="1" x14ac:dyDescent="0.3">
      <c r="A138" s="36"/>
      <c r="C138" s="96" t="s">
        <v>55</v>
      </c>
      <c r="D138" s="97" t="s">
        <v>29</v>
      </c>
      <c r="E138" s="98"/>
      <c r="F138" s="130">
        <f>SUM(G138:Z138)</f>
        <v>4685.8408339028756</v>
      </c>
      <c r="G138" s="131">
        <f t="shared" ref="G138:X138" si="79">SUMIF($C$71:$C$83,$A133,G$71:G$83)</f>
        <v>389.84756217220485</v>
      </c>
      <c r="H138" s="131">
        <f t="shared" si="79"/>
        <v>52.898773724903741</v>
      </c>
      <c r="I138" s="131">
        <f t="shared" si="79"/>
        <v>293.70778879027324</v>
      </c>
      <c r="J138" s="131">
        <f>SUMIF($C$71:$C$83,$A133,J$71:J$83)</f>
        <v>0</v>
      </c>
      <c r="K138" s="131">
        <f t="shared" si="79"/>
        <v>488.20095381825882</v>
      </c>
      <c r="L138" s="131">
        <f>SUMIF($C$71:$C$83,$A133,L$71:L$83)</f>
        <v>500.62483009286404</v>
      </c>
      <c r="M138" s="131">
        <f t="shared" si="79"/>
        <v>34.933452320805493</v>
      </c>
      <c r="N138" s="131">
        <f t="shared" si="79"/>
        <v>399.44865843220299</v>
      </c>
      <c r="O138" s="131">
        <f t="shared" si="79"/>
        <v>58.104673865159057</v>
      </c>
      <c r="P138" s="131">
        <f>SUMIF($C$71:$C$83,$A133,P$71:P$83)</f>
        <v>290.02101083874504</v>
      </c>
      <c r="Q138" s="131">
        <f t="shared" si="79"/>
        <v>170.86596343268965</v>
      </c>
      <c r="R138" s="131">
        <f t="shared" si="79"/>
        <v>1196.2059582770794</v>
      </c>
      <c r="S138" s="131">
        <f>SUMIF($C$71:$C$83,$A133,S$71:S$83)</f>
        <v>5.8443674973696185</v>
      </c>
      <c r="T138" s="131">
        <f t="shared" si="79"/>
        <v>117.48485778959824</v>
      </c>
      <c r="U138" s="131">
        <f t="shared" si="79"/>
        <v>10.641174246498725</v>
      </c>
      <c r="V138" s="131">
        <f t="shared" si="79"/>
        <v>0</v>
      </c>
      <c r="W138" s="131">
        <f>SUMIF($C$71:$C$83,$A133,W$71:W$83)</f>
        <v>3.3830240679959802</v>
      </c>
      <c r="X138" s="146">
        <f t="shared" si="79"/>
        <v>673.62778453622673</v>
      </c>
    </row>
    <row r="139" spans="1:24" x14ac:dyDescent="0.25">
      <c r="A139" s="36"/>
    </row>
    <row r="140" spans="1:24" x14ac:dyDescent="0.25">
      <c r="A140" s="36"/>
    </row>
    <row r="141" spans="1:24" x14ac:dyDescent="0.25">
      <c r="A141" s="36"/>
    </row>
    <row r="142" spans="1:24" ht="12" thickBot="1" x14ac:dyDescent="0.3">
      <c r="A142" s="36" t="str">
        <f>C32</f>
        <v>Murray</v>
      </c>
      <c r="C142" s="28" t="str">
        <f>"Table 8: "&amp;A142&amp;" operating expenditure ($'000, $2025-26)"</f>
        <v>Table 8: Murray operating expenditure ($'000, $2025-26)</v>
      </c>
    </row>
    <row r="143" spans="1:24" ht="34.5" x14ac:dyDescent="0.25">
      <c r="A143" s="36"/>
      <c r="C143" s="29"/>
      <c r="D143" s="101"/>
      <c r="E143" s="52"/>
      <c r="F143" s="126" t="str">
        <f>$F$24</f>
        <v>Total</v>
      </c>
      <c r="G143" s="54" t="str">
        <f>$G$24</f>
        <v>Customer Support</v>
      </c>
      <c r="H143" s="54" t="str">
        <f>$H$24</f>
        <v>Customer Billing</v>
      </c>
      <c r="I143" s="54" t="str">
        <f>$I$24</f>
        <v>Metering and Compliance</v>
      </c>
      <c r="J143" s="54" t="str">
        <f>$J$24</f>
        <v>New Metering and Compliance</v>
      </c>
      <c r="K143" s="54" t="str">
        <f>$K$24</f>
        <v>Water Delivery and Other Operations</v>
      </c>
      <c r="L143" s="54" t="str">
        <f>$L$24</f>
        <v>Catchment Planning and Operations</v>
      </c>
      <c r="M143" s="54" t="str">
        <f>$M$24</f>
        <v>Flood Operations</v>
      </c>
      <c r="N143" s="54" t="str">
        <f>$N$24</f>
        <v>Hydrometric Monitoring</v>
      </c>
      <c r="O143" s="54" t="str">
        <f>$O$24</f>
        <v>Water Quality Monitoring</v>
      </c>
      <c r="P143" s="54" t="str">
        <f>$P$24</f>
        <v>Direct Insurances</v>
      </c>
      <c r="Q143" s="54" t="str">
        <f>$Q$24</f>
        <v>Corrective Maintenance</v>
      </c>
      <c r="R143" s="54" t="str">
        <f>$R$24</f>
        <v>Routine Maintenance</v>
      </c>
      <c r="S143" s="55" t="str">
        <f>$S$24</f>
        <v>Renewal and Replacement</v>
      </c>
      <c r="T143" s="54" t="str">
        <f>$T$24</f>
        <v>Asset management planning</v>
      </c>
      <c r="U143" s="54" t="str">
        <f>$U$24</f>
        <v>Dam Safety Compliance</v>
      </c>
      <c r="V143" s="54" t="str">
        <f>$V$24</f>
        <v>Environmental Planning and Protection</v>
      </c>
      <c r="W143" s="54" t="str">
        <f>$W$24</f>
        <v>Environmental Delivery</v>
      </c>
      <c r="X143" s="139" t="str">
        <f>$X$24</f>
        <v>Corporate Systems</v>
      </c>
    </row>
    <row r="144" spans="1:24" x14ac:dyDescent="0.25">
      <c r="A144" s="36"/>
      <c r="C144" s="24" t="s">
        <v>58</v>
      </c>
      <c r="D144" s="25" t="s">
        <v>29</v>
      </c>
      <c r="E144" s="37"/>
      <c r="F144" s="127">
        <f>SUM(G144:Z144)</f>
        <v>4538.3129497115178</v>
      </c>
      <c r="G144" s="128">
        <f t="shared" ref="G144:X144" si="80">SUMIF($C$26:$C$38,$A142,G$26:G$38)</f>
        <v>207.28927152014347</v>
      </c>
      <c r="H144" s="128">
        <f t="shared" si="80"/>
        <v>121.34804948215421</v>
      </c>
      <c r="I144" s="128">
        <f t="shared" si="80"/>
        <v>736.3263945871588</v>
      </c>
      <c r="J144" s="128">
        <f>SUMIF($C$26:$C$38,$A142,J$26:J$38)</f>
        <v>0</v>
      </c>
      <c r="K144" s="128">
        <f t="shared" si="80"/>
        <v>1169.2354087487806</v>
      </c>
      <c r="L144" s="128">
        <f>SUMIF($C$26:$C$38,$A142,L$26:L$38)</f>
        <v>0</v>
      </c>
      <c r="M144" s="128">
        <f t="shared" si="80"/>
        <v>0</v>
      </c>
      <c r="N144" s="128">
        <f t="shared" si="80"/>
        <v>59.644212808539251</v>
      </c>
      <c r="O144" s="128">
        <f t="shared" si="80"/>
        <v>77.990566687368229</v>
      </c>
      <c r="P144" s="128">
        <f>SUMIF($C$26:$C$38,$A142,P$26:P$38)</f>
        <v>132.911491207018</v>
      </c>
      <c r="Q144" s="128">
        <f t="shared" si="80"/>
        <v>144.17575338209477</v>
      </c>
      <c r="R144" s="128">
        <f t="shared" si="80"/>
        <v>1010.8225216083398</v>
      </c>
      <c r="S144" s="128">
        <f>SUMIF($C$26:$C$38,$A142,S$26:S$38)</f>
        <v>1.3083235573440666</v>
      </c>
      <c r="T144" s="128">
        <f t="shared" si="80"/>
        <v>295.01013694851804</v>
      </c>
      <c r="U144" s="128">
        <f t="shared" si="80"/>
        <v>302.57008728501046</v>
      </c>
      <c r="V144" s="128">
        <f t="shared" si="80"/>
        <v>31.525089011646934</v>
      </c>
      <c r="W144" s="128">
        <f>SUMIF($C$26:$C$38,$A142,W$26:W$38)</f>
        <v>0</v>
      </c>
      <c r="X144" s="145">
        <f t="shared" si="80"/>
        <v>248.15564287740204</v>
      </c>
    </row>
    <row r="145" spans="1:24" x14ac:dyDescent="0.25">
      <c r="A145" s="36"/>
      <c r="C145" s="24" t="s">
        <v>53</v>
      </c>
      <c r="D145" s="25" t="s">
        <v>29</v>
      </c>
      <c r="E145" s="26"/>
      <c r="F145" s="129">
        <f>SUM(G145:Z145)</f>
        <v>5234.0829505629818</v>
      </c>
      <c r="G145" s="128">
        <f t="shared" ref="G145:X145" si="81">SUMIF($C$41:$C$53,$A142,G$41:G$53)</f>
        <v>556.61938299890778</v>
      </c>
      <c r="H145" s="128">
        <f t="shared" si="81"/>
        <v>150.3883059551209</v>
      </c>
      <c r="I145" s="128">
        <f t="shared" si="81"/>
        <v>520.48119516392921</v>
      </c>
      <c r="J145" s="128">
        <f>SUMIF($C$41:$C$53,$A142,J$41:J$53)</f>
        <v>15.738527698170499</v>
      </c>
      <c r="K145" s="128">
        <f t="shared" si="81"/>
        <v>1456.5558697514714</v>
      </c>
      <c r="L145" s="128">
        <f>SUMIF($C$41:$C$53,$A142,L$41:L$53)</f>
        <v>75.093158314121766</v>
      </c>
      <c r="M145" s="128">
        <f t="shared" si="81"/>
        <v>0</v>
      </c>
      <c r="N145" s="128">
        <f t="shared" si="81"/>
        <v>18.994470808379646</v>
      </c>
      <c r="O145" s="128">
        <f t="shared" si="81"/>
        <v>95.116248094181501</v>
      </c>
      <c r="P145" s="128">
        <f>SUMIF($C$41:$C$53,$A142,P$41:P$53)</f>
        <v>64.833435950598982</v>
      </c>
      <c r="Q145" s="128">
        <f t="shared" si="81"/>
        <v>55.107808432171502</v>
      </c>
      <c r="R145" s="128">
        <f t="shared" si="81"/>
        <v>795.35298254428824</v>
      </c>
      <c r="S145" s="128">
        <f>SUMIF($C$41:$C$53,$A142,S$41:S$53)</f>
        <v>0</v>
      </c>
      <c r="T145" s="128">
        <f t="shared" si="81"/>
        <v>1131.3823671610814</v>
      </c>
      <c r="U145" s="128">
        <f t="shared" si="81"/>
        <v>1.5754205236139436</v>
      </c>
      <c r="V145" s="128">
        <f t="shared" si="81"/>
        <v>0</v>
      </c>
      <c r="W145" s="128">
        <f>SUMIF($C$41:$C$53,$A142,W$41:W$53)</f>
        <v>4.480766708951635E-3</v>
      </c>
      <c r="X145" s="145">
        <f t="shared" si="81"/>
        <v>296.83929640023638</v>
      </c>
    </row>
    <row r="146" spans="1:24" x14ac:dyDescent="0.25">
      <c r="A146" s="36"/>
      <c r="C146" s="24" t="s">
        <v>54</v>
      </c>
      <c r="D146" s="25" t="s">
        <v>29</v>
      </c>
      <c r="E146" s="26"/>
      <c r="F146" s="129">
        <f>SUM(G146:Z146)</f>
        <v>5203.7519887611261</v>
      </c>
      <c r="G146" s="128">
        <f t="shared" ref="G146:X146" si="82">SUMIF($C$56:$C$68,$A142,G$56:G$68)</f>
        <v>511.69116499666791</v>
      </c>
      <c r="H146" s="128">
        <f t="shared" si="82"/>
        <v>149.33978173305624</v>
      </c>
      <c r="I146" s="128">
        <f t="shared" si="82"/>
        <v>517.27168005761735</v>
      </c>
      <c r="J146" s="128">
        <f>SUMIF($C$56:$C$68,$A142,J$56:J$68)</f>
        <v>15.628802556545381</v>
      </c>
      <c r="K146" s="128">
        <f t="shared" si="82"/>
        <v>1416.8423400574411</v>
      </c>
      <c r="L146" s="128">
        <f>SUMIF($C$56:$C$68,$A142,L$56:L$68)</f>
        <v>75.532245768990336</v>
      </c>
      <c r="M146" s="128">
        <f t="shared" si="82"/>
        <v>0</v>
      </c>
      <c r="N146" s="128">
        <f t="shared" si="82"/>
        <v>18.747689728374915</v>
      </c>
      <c r="O146" s="128">
        <f t="shared" si="82"/>
        <v>118.18615337398353</v>
      </c>
      <c r="P146" s="128">
        <f>SUMIF($C$56:$C$68,$A142,P$56:P$68)</f>
        <v>70.373224742442417</v>
      </c>
      <c r="Q146" s="128">
        <f t="shared" si="82"/>
        <v>54.467958177097024</v>
      </c>
      <c r="R146" s="128">
        <f t="shared" si="82"/>
        <v>789.45746017531076</v>
      </c>
      <c r="S146" s="128">
        <f>SUMIF($C$56:$C$68,$A142,S$56:S$68)</f>
        <v>0</v>
      </c>
      <c r="T146" s="128">
        <f t="shared" si="82"/>
        <v>1129.4368391850244</v>
      </c>
      <c r="U146" s="128">
        <f t="shared" si="82"/>
        <v>1.5535120921543633</v>
      </c>
      <c r="V146" s="128">
        <f t="shared" si="82"/>
        <v>0</v>
      </c>
      <c r="W146" s="128">
        <f>SUMIF($C$56:$C$68,$A142,W$56:W$68)</f>
        <v>4.4495279062403761E-3</v>
      </c>
      <c r="X146" s="145">
        <f t="shared" si="82"/>
        <v>335.21868658851412</v>
      </c>
    </row>
    <row r="147" spans="1:24" ht="12" thickBot="1" x14ac:dyDescent="0.3">
      <c r="A147" s="36"/>
      <c r="C147" s="96" t="s">
        <v>55</v>
      </c>
      <c r="D147" s="97" t="s">
        <v>29</v>
      </c>
      <c r="E147" s="98"/>
      <c r="F147" s="130">
        <f>SUM(G147:Z147)</f>
        <v>4905.6891923181711</v>
      </c>
      <c r="G147" s="131">
        <f t="shared" ref="G147:X147" si="83">SUMIF($C$71:$C$83,$A142,G$71:G$83)</f>
        <v>508.00678964591634</v>
      </c>
      <c r="H147" s="131">
        <f t="shared" si="83"/>
        <v>148.20626887856781</v>
      </c>
      <c r="I147" s="131">
        <f t="shared" si="83"/>
        <v>512.84065570210589</v>
      </c>
      <c r="J147" s="131">
        <f>SUMIF($C$71:$C$83,$A142,J$71:J$83)</f>
        <v>15.510174269590784</v>
      </c>
      <c r="K147" s="131">
        <f t="shared" si="83"/>
        <v>1448.3183617984732</v>
      </c>
      <c r="L147" s="131">
        <f>SUMIF($C$71:$C$83,$A142,L$71:L$83)</f>
        <v>86.308692628083179</v>
      </c>
      <c r="M147" s="131">
        <f t="shared" si="83"/>
        <v>0</v>
      </c>
      <c r="N147" s="131">
        <f t="shared" si="83"/>
        <v>18.291234548214586</v>
      </c>
      <c r="O147" s="131">
        <f t="shared" si="83"/>
        <v>80.543600824206493</v>
      </c>
      <c r="P147" s="131">
        <f>SUMIF($C$71:$C$83,$A142,P$71:P$83)</f>
        <v>73.904642437099696</v>
      </c>
      <c r="Q147" s="131">
        <f t="shared" si="83"/>
        <v>53.80225517583186</v>
      </c>
      <c r="R147" s="131">
        <f t="shared" si="83"/>
        <v>783.50141291166904</v>
      </c>
      <c r="S147" s="131">
        <f>SUMIF($C$71:$C$83,$A142,S$71:S$83)</f>
        <v>0</v>
      </c>
      <c r="T147" s="131">
        <f t="shared" si="83"/>
        <v>822.15145803714188</v>
      </c>
      <c r="U147" s="131">
        <f t="shared" si="83"/>
        <v>1.5310547505645382</v>
      </c>
      <c r="V147" s="131">
        <f t="shared" si="83"/>
        <v>0</v>
      </c>
      <c r="W147" s="131">
        <f>SUMIF($C$71:$C$83,$A142,W$71:W$83)</f>
        <v>4.4157543735999696E-3</v>
      </c>
      <c r="X147" s="146">
        <f t="shared" si="83"/>
        <v>352.76817495633372</v>
      </c>
    </row>
    <row r="148" spans="1:24" x14ac:dyDescent="0.25">
      <c r="A148" s="36"/>
    </row>
    <row r="149" spans="1:24" x14ac:dyDescent="0.25">
      <c r="A149" s="36"/>
    </row>
    <row r="150" spans="1:24" x14ac:dyDescent="0.25">
      <c r="A150" s="36"/>
    </row>
    <row r="151" spans="1:24" ht="12" thickBot="1" x14ac:dyDescent="0.3">
      <c r="A151" s="36" t="str">
        <f>C33</f>
        <v>Murrumbidgee</v>
      </c>
      <c r="C151" s="28" t="str">
        <f>"Table 9: "&amp;A151&amp;" operating expenditure ($'000, $2025-26)"</f>
        <v>Table 9: Murrumbidgee operating expenditure ($'000, $2025-26)</v>
      </c>
    </row>
    <row r="152" spans="1:24" ht="34.5" x14ac:dyDescent="0.25">
      <c r="A152" s="36"/>
      <c r="C152" s="29"/>
      <c r="D152" s="101"/>
      <c r="E152" s="52"/>
      <c r="F152" s="126" t="str">
        <f>$F$24</f>
        <v>Total</v>
      </c>
      <c r="G152" s="54" t="str">
        <f>$G$24</f>
        <v>Customer Support</v>
      </c>
      <c r="H152" s="54" t="str">
        <f>$H$24</f>
        <v>Customer Billing</v>
      </c>
      <c r="I152" s="54" t="str">
        <f>$I$24</f>
        <v>Metering and Compliance</v>
      </c>
      <c r="J152" s="54" t="str">
        <f>$J$24</f>
        <v>New Metering and Compliance</v>
      </c>
      <c r="K152" s="54" t="str">
        <f>$K$24</f>
        <v>Water Delivery and Other Operations</v>
      </c>
      <c r="L152" s="54" t="str">
        <f>$L$24</f>
        <v>Catchment Planning and Operations</v>
      </c>
      <c r="M152" s="54" t="str">
        <f>$M$24</f>
        <v>Flood Operations</v>
      </c>
      <c r="N152" s="54" t="str">
        <f>$N$24</f>
        <v>Hydrometric Monitoring</v>
      </c>
      <c r="O152" s="54" t="str">
        <f>$O$24</f>
        <v>Water Quality Monitoring</v>
      </c>
      <c r="P152" s="54" t="str">
        <f>$P$24</f>
        <v>Direct Insurances</v>
      </c>
      <c r="Q152" s="54" t="str">
        <f>$Q$24</f>
        <v>Corrective Maintenance</v>
      </c>
      <c r="R152" s="54" t="str">
        <f>$R$24</f>
        <v>Routine Maintenance</v>
      </c>
      <c r="S152" s="55" t="str">
        <f>$S$24</f>
        <v>Renewal and Replacement</v>
      </c>
      <c r="T152" s="54" t="str">
        <f>$T$24</f>
        <v>Asset management planning</v>
      </c>
      <c r="U152" s="54" t="str">
        <f>$U$24</f>
        <v>Dam Safety Compliance</v>
      </c>
      <c r="V152" s="54" t="str">
        <f>$V$24</f>
        <v>Environmental Planning and Protection</v>
      </c>
      <c r="W152" s="54" t="str">
        <f>$W$24</f>
        <v>Environmental Delivery</v>
      </c>
      <c r="X152" s="139" t="str">
        <f>$X$24</f>
        <v>Corporate Systems</v>
      </c>
    </row>
    <row r="153" spans="1:24" x14ac:dyDescent="0.25">
      <c r="A153" s="36"/>
      <c r="C153" s="24" t="s">
        <v>58</v>
      </c>
      <c r="D153" s="25" t="s">
        <v>29</v>
      </c>
      <c r="E153" s="37"/>
      <c r="F153" s="127">
        <f>SUM(G153:Z153)</f>
        <v>10021.164350120544</v>
      </c>
      <c r="G153" s="128">
        <f t="shared" ref="G153:X153" si="84">SUMIF($C$26:$C$38,$A151,G$26:G$38)</f>
        <v>215.64113580242022</v>
      </c>
      <c r="H153" s="128">
        <f t="shared" si="84"/>
        <v>217.94527770311606</v>
      </c>
      <c r="I153" s="128">
        <f t="shared" si="84"/>
        <v>538.89960222530794</v>
      </c>
      <c r="J153" s="128">
        <f>SUMIF($C$26:$C$38,$A151,J$26:J$38)</f>
        <v>0</v>
      </c>
      <c r="K153" s="128">
        <f t="shared" si="84"/>
        <v>1521.0150918407942</v>
      </c>
      <c r="L153" s="128">
        <f>SUMIF($C$26:$C$38,$A151,L$26:L$38)</f>
        <v>0</v>
      </c>
      <c r="M153" s="128">
        <f t="shared" si="84"/>
        <v>250.47145481672311</v>
      </c>
      <c r="N153" s="128">
        <f t="shared" si="84"/>
        <v>1200.3624267043274</v>
      </c>
      <c r="O153" s="128">
        <f t="shared" si="84"/>
        <v>127.17381128893894</v>
      </c>
      <c r="P153" s="128">
        <f>SUMIF($C$26:$C$38,$A151,P$26:P$38)</f>
        <v>418.59351933723264</v>
      </c>
      <c r="Q153" s="128">
        <f t="shared" si="84"/>
        <v>805.24365095819098</v>
      </c>
      <c r="R153" s="128">
        <f t="shared" si="84"/>
        <v>2891.8746672045827</v>
      </c>
      <c r="S153" s="128">
        <f>SUMIF($C$26:$C$38,$A151,S$26:S$38)</f>
        <v>3.5538208811272098</v>
      </c>
      <c r="T153" s="128">
        <f t="shared" si="84"/>
        <v>597.65636191759336</v>
      </c>
      <c r="U153" s="128">
        <f t="shared" si="84"/>
        <v>726.91975972577211</v>
      </c>
      <c r="V153" s="128">
        <f t="shared" si="84"/>
        <v>236.72451357057571</v>
      </c>
      <c r="W153" s="128">
        <f>SUMIF($C$26:$C$38,$A151,W$26:W$38)</f>
        <v>0</v>
      </c>
      <c r="X153" s="145">
        <f t="shared" si="84"/>
        <v>269.08925614383918</v>
      </c>
    </row>
    <row r="154" spans="1:24" x14ac:dyDescent="0.25">
      <c r="A154" s="36"/>
      <c r="C154" s="24" t="s">
        <v>53</v>
      </c>
      <c r="D154" s="25" t="s">
        <v>29</v>
      </c>
      <c r="E154" s="26"/>
      <c r="F154" s="129">
        <f>SUM(G154:Z154)</f>
        <v>10709.932933906954</v>
      </c>
      <c r="G154" s="128">
        <f t="shared" ref="G154:X154" si="85">SUMIF($C$41:$C$53,$A151,G$41:G$53)</f>
        <v>428.69596566497438</v>
      </c>
      <c r="H154" s="128">
        <f t="shared" si="85"/>
        <v>83.300073700357729</v>
      </c>
      <c r="I154" s="128">
        <f t="shared" si="85"/>
        <v>374.2620026053753</v>
      </c>
      <c r="J154" s="128">
        <f>SUMIF($C$41:$C$53,$A151,J$41:J$53)</f>
        <v>0</v>
      </c>
      <c r="K154" s="128">
        <f t="shared" si="85"/>
        <v>1438.3813551887285</v>
      </c>
      <c r="L154" s="128">
        <f>SUMIF($C$41:$C$53,$A151,L$41:L$53)</f>
        <v>211.61135480228185</v>
      </c>
      <c r="M154" s="128">
        <f t="shared" si="85"/>
        <v>61.225575783506898</v>
      </c>
      <c r="N154" s="128">
        <f t="shared" si="85"/>
        <v>1397.589062178542</v>
      </c>
      <c r="O154" s="128">
        <f t="shared" si="85"/>
        <v>45.916149545724139</v>
      </c>
      <c r="P154" s="128">
        <f>SUMIF($C$41:$C$53,$A151,P$41:P$53)</f>
        <v>416.4455607664853</v>
      </c>
      <c r="Q154" s="128">
        <f t="shared" si="85"/>
        <v>1632.5138205276137</v>
      </c>
      <c r="R154" s="128">
        <f t="shared" si="85"/>
        <v>2698.1030250337653</v>
      </c>
      <c r="S154" s="128">
        <f>SUMIF($C$41:$C$53,$A151,S$41:S$53)</f>
        <v>17.294726975032109</v>
      </c>
      <c r="T154" s="128">
        <f t="shared" si="85"/>
        <v>695.50877061117637</v>
      </c>
      <c r="U154" s="128">
        <f t="shared" si="85"/>
        <v>268.83019734598798</v>
      </c>
      <c r="V154" s="128">
        <f t="shared" si="85"/>
        <v>139.89444675936357</v>
      </c>
      <c r="W154" s="128">
        <f>SUMIF($C$41:$C$53,$A151,W$41:W$53)</f>
        <v>8.3770855863008822E-3</v>
      </c>
      <c r="X154" s="145">
        <f t="shared" si="85"/>
        <v>800.35246933245082</v>
      </c>
    </row>
    <row r="155" spans="1:24" x14ac:dyDescent="0.25">
      <c r="A155" s="36"/>
      <c r="C155" s="24" t="s">
        <v>54</v>
      </c>
      <c r="D155" s="25" t="s">
        <v>29</v>
      </c>
      <c r="E155" s="26"/>
      <c r="F155" s="129">
        <f>SUM(G155:Z155)</f>
        <v>11273.36412039708</v>
      </c>
      <c r="G155" s="128">
        <f t="shared" ref="G155:X155" si="86">SUMIF($C$56:$C$68,$A151,G$56:G$68)</f>
        <v>394.21176839217469</v>
      </c>
      <c r="H155" s="128">
        <f t="shared" si="86"/>
        <v>82.719305358529397</v>
      </c>
      <c r="I155" s="128">
        <f t="shared" si="86"/>
        <v>371.74342360925965</v>
      </c>
      <c r="J155" s="128">
        <f>SUMIF($C$56:$C$68,$A151,J$56:J$68)</f>
        <v>0</v>
      </c>
      <c r="K155" s="128">
        <f t="shared" si="86"/>
        <v>1399.3347439126169</v>
      </c>
      <c r="L155" s="128">
        <f>SUMIF($C$56:$C$68,$A151,L$56:L$68)</f>
        <v>229.66784134933269</v>
      </c>
      <c r="M155" s="128">
        <f t="shared" si="86"/>
        <v>60.798737992951558</v>
      </c>
      <c r="N155" s="128">
        <f t="shared" si="86"/>
        <v>1387.9750294433302</v>
      </c>
      <c r="O155" s="128">
        <f t="shared" si="86"/>
        <v>57.052827361677068</v>
      </c>
      <c r="P155" s="128">
        <f>SUMIF($C$56:$C$68,$A151,P$56:P$68)</f>
        <v>441.48231649946166</v>
      </c>
      <c r="Q155" s="128">
        <f t="shared" si="86"/>
        <v>1623.8039321868325</v>
      </c>
      <c r="R155" s="128">
        <f t="shared" si="86"/>
        <v>2677.6143220449317</v>
      </c>
      <c r="S155" s="128">
        <f>SUMIF($C$56:$C$68,$A151,S$56:S$68)</f>
        <v>17.166042859193304</v>
      </c>
      <c r="T155" s="128">
        <f t="shared" si="86"/>
        <v>1209.3117939961458</v>
      </c>
      <c r="U155" s="128">
        <f t="shared" si="86"/>
        <v>267.70365960447549</v>
      </c>
      <c r="V155" s="128">
        <f t="shared" si="86"/>
        <v>139.39475018100845</v>
      </c>
      <c r="W155" s="128">
        <f>SUMIF($C$56:$C$68,$A151,W$56:W$68)</f>
        <v>8.3186826073189633E-3</v>
      </c>
      <c r="X155" s="145">
        <f t="shared" si="86"/>
        <v>913.37530692255064</v>
      </c>
    </row>
    <row r="156" spans="1:24" ht="12" thickBot="1" x14ac:dyDescent="0.3">
      <c r="A156" s="36"/>
      <c r="C156" s="96" t="s">
        <v>55</v>
      </c>
      <c r="D156" s="97" t="s">
        <v>29</v>
      </c>
      <c r="E156" s="98"/>
      <c r="F156" s="130">
        <f>SUM(G156:Z156)</f>
        <v>11559.393302821043</v>
      </c>
      <c r="G156" s="131">
        <f t="shared" ref="G156:X156" si="87">SUMIF($C$71:$C$83,$A151,G$71:G$83)</f>
        <v>391.24633642302291</v>
      </c>
      <c r="H156" s="131">
        <f t="shared" si="87"/>
        <v>82.091439608122059</v>
      </c>
      <c r="I156" s="131">
        <f t="shared" si="87"/>
        <v>369.11159675396146</v>
      </c>
      <c r="J156" s="131">
        <f>SUMIF($C$71:$C$83,$A151,J$71:J$83)</f>
        <v>0</v>
      </c>
      <c r="K156" s="131">
        <f t="shared" si="87"/>
        <v>1430.5867167875256</v>
      </c>
      <c r="L156" s="131">
        <f>SUMIF($C$71:$C$83,$A151,L$71:L$83)</f>
        <v>288.7799159167314</v>
      </c>
      <c r="M156" s="131">
        <f t="shared" si="87"/>
        <v>60.337231421552673</v>
      </c>
      <c r="N156" s="131">
        <f t="shared" si="87"/>
        <v>1377.0513187898202</v>
      </c>
      <c r="O156" s="131">
        <f t="shared" si="87"/>
        <v>38.881393345081484</v>
      </c>
      <c r="P156" s="131">
        <f>SUMIF($C$71:$C$83,$A151,P$71:P$83)</f>
        <v>455.74863312746965</v>
      </c>
      <c r="Q156" s="131">
        <f t="shared" si="87"/>
        <v>1614.1153659935708</v>
      </c>
      <c r="R156" s="131">
        <f t="shared" si="87"/>
        <v>2655.5271166675748</v>
      </c>
      <c r="S156" s="131">
        <f>SUMIF($C$71:$C$83,$A151,S$71:S$83)</f>
        <v>17.027767718258236</v>
      </c>
      <c r="T156" s="131">
        <f t="shared" si="87"/>
        <v>1389.2986540643578</v>
      </c>
      <c r="U156" s="131">
        <f t="shared" si="87"/>
        <v>266.4164895714037</v>
      </c>
      <c r="V156" s="131">
        <f t="shared" si="87"/>
        <v>139.46568076979278</v>
      </c>
      <c r="W156" s="131">
        <f>SUMIF($C$71:$C$83,$A151,W$71:W$83)</f>
        <v>8.2555407854260285E-3</v>
      </c>
      <c r="X156" s="146">
        <f t="shared" si="87"/>
        <v>983.69939032201228</v>
      </c>
    </row>
    <row r="157" spans="1:24" x14ac:dyDescent="0.25">
      <c r="A157" s="36"/>
    </row>
    <row r="158" spans="1:24" x14ac:dyDescent="0.25">
      <c r="A158" s="36"/>
    </row>
    <row r="159" spans="1:24" x14ac:dyDescent="0.25">
      <c r="A159" s="36"/>
    </row>
    <row r="160" spans="1:24" ht="12" thickBot="1" x14ac:dyDescent="0.3">
      <c r="A160" s="36" t="str">
        <f>C34</f>
        <v>Lowbidgee</v>
      </c>
      <c r="C160" s="28" t="str">
        <f>"Table 10: "&amp;A160&amp;" operating expenditure ($'000, $2025-26)"</f>
        <v>Table 10: Lowbidgee operating expenditure ($'000, $2025-26)</v>
      </c>
    </row>
    <row r="161" spans="1:24" ht="34.5" x14ac:dyDescent="0.25">
      <c r="A161" s="36"/>
      <c r="C161" s="29"/>
      <c r="D161" s="101"/>
      <c r="E161" s="52"/>
      <c r="F161" s="126" t="str">
        <f>$F$24</f>
        <v>Total</v>
      </c>
      <c r="G161" s="54" t="str">
        <f>$G$24</f>
        <v>Customer Support</v>
      </c>
      <c r="H161" s="54" t="str">
        <f>$H$24</f>
        <v>Customer Billing</v>
      </c>
      <c r="I161" s="54" t="str">
        <f>$I$24</f>
        <v>Metering and Compliance</v>
      </c>
      <c r="J161" s="54" t="str">
        <f>$J$24</f>
        <v>New Metering and Compliance</v>
      </c>
      <c r="K161" s="54" t="str">
        <f>$K$24</f>
        <v>Water Delivery and Other Operations</v>
      </c>
      <c r="L161" s="54" t="str">
        <f>$L$24</f>
        <v>Catchment Planning and Operations</v>
      </c>
      <c r="M161" s="54" t="str">
        <f>$M$24</f>
        <v>Flood Operations</v>
      </c>
      <c r="N161" s="54" t="str">
        <f>$N$24</f>
        <v>Hydrometric Monitoring</v>
      </c>
      <c r="O161" s="54" t="str">
        <f>$O$24</f>
        <v>Water Quality Monitoring</v>
      </c>
      <c r="P161" s="54" t="str">
        <f>$P$24</f>
        <v>Direct Insurances</v>
      </c>
      <c r="Q161" s="54" t="str">
        <f>$Q$24</f>
        <v>Corrective Maintenance</v>
      </c>
      <c r="R161" s="54" t="str">
        <f>$R$24</f>
        <v>Routine Maintenance</v>
      </c>
      <c r="S161" s="55" t="str">
        <f>$S$24</f>
        <v>Renewal and Replacement</v>
      </c>
      <c r="T161" s="54" t="str">
        <f>$T$24</f>
        <v>Asset management planning</v>
      </c>
      <c r="U161" s="54" t="str">
        <f>$U$24</f>
        <v>Dam Safety Compliance</v>
      </c>
      <c r="V161" s="54" t="str">
        <f>$V$24</f>
        <v>Environmental Planning and Protection</v>
      </c>
      <c r="W161" s="54" t="str">
        <f>$W$24</f>
        <v>Environmental Delivery</v>
      </c>
      <c r="X161" s="139" t="str">
        <f>$X$24</f>
        <v>Corporate Systems</v>
      </c>
    </row>
    <row r="162" spans="1:24" x14ac:dyDescent="0.25">
      <c r="A162" s="36"/>
      <c r="C162" s="24" t="s">
        <v>58</v>
      </c>
      <c r="D162" s="25" t="s">
        <v>29</v>
      </c>
      <c r="E162" s="37"/>
      <c r="F162" s="127">
        <f>SUM(G162:Z162)</f>
        <v>945.62431005165922</v>
      </c>
      <c r="G162" s="128">
        <f t="shared" ref="G162:X162" si="88">SUMIF($C$26:$C$38,$A160,G$26:G$38)</f>
        <v>0</v>
      </c>
      <c r="H162" s="128">
        <f t="shared" si="88"/>
        <v>0</v>
      </c>
      <c r="I162" s="128">
        <f t="shared" si="88"/>
        <v>0</v>
      </c>
      <c r="J162" s="128">
        <f>SUMIF($C$26:$C$38,$A160,J$26:J$38)</f>
        <v>0</v>
      </c>
      <c r="K162" s="128">
        <f t="shared" si="88"/>
        <v>86.921574214960046</v>
      </c>
      <c r="L162" s="128">
        <f>SUMIF($C$26:$C$38,$A160,L$26:L$38)</f>
        <v>0</v>
      </c>
      <c r="M162" s="128">
        <f t="shared" si="88"/>
        <v>7.6275490833328332</v>
      </c>
      <c r="N162" s="128">
        <f t="shared" si="88"/>
        <v>0</v>
      </c>
      <c r="O162" s="128">
        <f t="shared" si="88"/>
        <v>0</v>
      </c>
      <c r="P162" s="128">
        <f>SUMIF($C$26:$C$38,$A160,P$26:P$38)</f>
        <v>20.530005261031338</v>
      </c>
      <c r="Q162" s="128">
        <f t="shared" si="88"/>
        <v>165.6721006192019</v>
      </c>
      <c r="R162" s="128">
        <f t="shared" si="88"/>
        <v>654.67415811142064</v>
      </c>
      <c r="S162" s="128">
        <f>SUMIF($C$26:$C$38,$A160,S$26:S$38)</f>
        <v>0</v>
      </c>
      <c r="T162" s="128">
        <f t="shared" si="88"/>
        <v>0</v>
      </c>
      <c r="U162" s="128">
        <f t="shared" si="88"/>
        <v>0</v>
      </c>
      <c r="V162" s="128">
        <f t="shared" si="88"/>
        <v>0</v>
      </c>
      <c r="W162" s="128">
        <f>SUMIF($C$26:$C$38,$A160,W$26:W$38)</f>
        <v>0</v>
      </c>
      <c r="X162" s="145">
        <f t="shared" si="88"/>
        <v>10.198922761712586</v>
      </c>
    </row>
    <row r="163" spans="1:24" x14ac:dyDescent="0.25">
      <c r="A163" s="36"/>
      <c r="C163" s="24" t="s">
        <v>53</v>
      </c>
      <c r="D163" s="25" t="s">
        <v>29</v>
      </c>
      <c r="E163" s="26"/>
      <c r="F163" s="129">
        <f>SUM(G163:Z163)</f>
        <v>594.33456613898875</v>
      </c>
      <c r="G163" s="128">
        <f t="shared" ref="G163:X163" si="89">SUMIF($C$41:$C$53,$A160,G$41:G$53)</f>
        <v>0.10052994461122607</v>
      </c>
      <c r="H163" s="128">
        <f t="shared" si="89"/>
        <v>0</v>
      </c>
      <c r="I163" s="128">
        <f t="shared" si="89"/>
        <v>0</v>
      </c>
      <c r="J163" s="128">
        <f>SUMIF($C$41:$C$53,$A160,J$41:J$53)</f>
        <v>0</v>
      </c>
      <c r="K163" s="128">
        <f t="shared" si="89"/>
        <v>31.071587150252284</v>
      </c>
      <c r="L163" s="128">
        <f>SUMIF($C$41:$C$53,$A160,L$41:L$53)</f>
        <v>3.1427585707550949E-2</v>
      </c>
      <c r="M163" s="128">
        <f t="shared" si="89"/>
        <v>7.0021419095759381</v>
      </c>
      <c r="N163" s="128">
        <f t="shared" si="89"/>
        <v>2.3927139323178359</v>
      </c>
      <c r="O163" s="128">
        <f t="shared" si="89"/>
        <v>0</v>
      </c>
      <c r="P163" s="128">
        <f>SUMIF($C$41:$C$53,$A160,P$41:P$53)</f>
        <v>19.762608013629876</v>
      </c>
      <c r="Q163" s="128">
        <f t="shared" si="89"/>
        <v>34.541862136616224</v>
      </c>
      <c r="R163" s="128">
        <f t="shared" si="89"/>
        <v>460.64396998723981</v>
      </c>
      <c r="S163" s="128">
        <f>SUMIF($C$41:$C$53,$A160,S$41:S$53)</f>
        <v>0</v>
      </c>
      <c r="T163" s="128">
        <f t="shared" si="89"/>
        <v>0.15813967421188918</v>
      </c>
      <c r="U163" s="128">
        <f t="shared" si="89"/>
        <v>0</v>
      </c>
      <c r="V163" s="128">
        <f t="shared" si="89"/>
        <v>0</v>
      </c>
      <c r="W163" s="128">
        <f>SUMIF($C$41:$C$53,$A160,W$41:W$53)</f>
        <v>2.9308926104023265</v>
      </c>
      <c r="X163" s="145">
        <f t="shared" si="89"/>
        <v>35.698693194423832</v>
      </c>
    </row>
    <row r="164" spans="1:24" x14ac:dyDescent="0.25">
      <c r="A164" s="36"/>
      <c r="C164" s="24" t="s">
        <v>54</v>
      </c>
      <c r="D164" s="25" t="s">
        <v>29</v>
      </c>
      <c r="E164" s="26"/>
      <c r="F164" s="129">
        <f>SUM(G164:Z164)</f>
        <v>597.50706528765556</v>
      </c>
      <c r="G164" s="128">
        <f t="shared" ref="G164:X164" si="90">SUMIF($C$56:$C$68,$A160,G$56:G$68)</f>
        <v>8.293031913121221E-2</v>
      </c>
      <c r="H164" s="128">
        <f t="shared" si="90"/>
        <v>0</v>
      </c>
      <c r="I164" s="128">
        <f t="shared" si="90"/>
        <v>0</v>
      </c>
      <c r="J164" s="128">
        <f>SUMIF($C$56:$C$68,$A160,J$56:J$68)</f>
        <v>0</v>
      </c>
      <c r="K164" s="128">
        <f t="shared" si="90"/>
        <v>30.023638793308837</v>
      </c>
      <c r="L164" s="128">
        <f>SUMIF($C$56:$C$68,$A160,L$56:L$68)</f>
        <v>2.8399493096766388E-2</v>
      </c>
      <c r="M164" s="128">
        <f t="shared" si="90"/>
        <v>6.9532945550976786</v>
      </c>
      <c r="N164" s="128">
        <f t="shared" si="90"/>
        <v>2.3951982758329056</v>
      </c>
      <c r="O164" s="128">
        <f t="shared" si="90"/>
        <v>0</v>
      </c>
      <c r="P164" s="128">
        <f>SUMIF($C$56:$C$68,$A160,P$56:P$68)</f>
        <v>21.304852452134547</v>
      </c>
      <c r="Q164" s="128">
        <f t="shared" si="90"/>
        <v>34.140766212345035</v>
      </c>
      <c r="R164" s="128">
        <f t="shared" si="90"/>
        <v>458.7753216500634</v>
      </c>
      <c r="S164" s="128">
        <f>SUMIF($C$56:$C$68,$A160,S$56:S$68)</f>
        <v>0</v>
      </c>
      <c r="T164" s="128">
        <f t="shared" si="90"/>
        <v>0.16601745374170465</v>
      </c>
      <c r="U164" s="128">
        <f t="shared" si="90"/>
        <v>0</v>
      </c>
      <c r="V164" s="128">
        <f t="shared" si="90"/>
        <v>0</v>
      </c>
      <c r="W164" s="128">
        <f>SUMIF($C$56:$C$68,$A160,W$56:W$68)</f>
        <v>2.9104591484590099</v>
      </c>
      <c r="X164" s="145">
        <f t="shared" si="90"/>
        <v>40.726186934444449</v>
      </c>
    </row>
    <row r="165" spans="1:24" ht="12" thickBot="1" x14ac:dyDescent="0.3">
      <c r="A165" s="36"/>
      <c r="C165" s="96" t="s">
        <v>55</v>
      </c>
      <c r="D165" s="97" t="s">
        <v>29</v>
      </c>
      <c r="E165" s="98"/>
      <c r="F165" s="130">
        <f>SUM(G165:Z165)</f>
        <v>596.53478415000313</v>
      </c>
      <c r="G165" s="131">
        <f t="shared" ref="G165:X165" si="91">SUMIF($C$71:$C$83,$A160,G$71:G$83)</f>
        <v>9.2736583793020189E-2</v>
      </c>
      <c r="H165" s="131">
        <f t="shared" si="91"/>
        <v>0</v>
      </c>
      <c r="I165" s="131">
        <f t="shared" si="91"/>
        <v>0</v>
      </c>
      <c r="J165" s="131">
        <f>SUMIF($C$71:$C$83,$A160,J$71:J$83)</f>
        <v>0</v>
      </c>
      <c r="K165" s="131">
        <f t="shared" si="91"/>
        <v>30.537147635955332</v>
      </c>
      <c r="L165" s="131">
        <f>SUMIF($C$71:$C$83,$A160,L$71:L$83)</f>
        <v>3.5580749306055114E-2</v>
      </c>
      <c r="M165" s="131">
        <f t="shared" si="91"/>
        <v>6.9005433893111849</v>
      </c>
      <c r="N165" s="131">
        <f t="shared" si="91"/>
        <v>2.354816422991572</v>
      </c>
      <c r="O165" s="131">
        <f t="shared" si="91"/>
        <v>0</v>
      </c>
      <c r="P165" s="131">
        <f>SUMIF($C$71:$C$83,$A160,P$71:P$83)</f>
        <v>22.792025184977682</v>
      </c>
      <c r="Q165" s="131">
        <f t="shared" si="91"/>
        <v>33.723553764556158</v>
      </c>
      <c r="R165" s="131">
        <f t="shared" si="91"/>
        <v>455.7245998895151</v>
      </c>
      <c r="S165" s="131">
        <f>SUMIF($C$71:$C$83,$A160,S$71:S$83)</f>
        <v>0</v>
      </c>
      <c r="T165" s="131">
        <f t="shared" si="91"/>
        <v>0.11690511227359536</v>
      </c>
      <c r="U165" s="131">
        <f t="shared" si="91"/>
        <v>0</v>
      </c>
      <c r="V165" s="131">
        <f t="shared" si="91"/>
        <v>0</v>
      </c>
      <c r="W165" s="131">
        <f>SUMIF($C$71:$C$83,$A160,W$71:W$83)</f>
        <v>2.8883677065981344</v>
      </c>
      <c r="X165" s="146">
        <f t="shared" si="91"/>
        <v>41.368507710725375</v>
      </c>
    </row>
    <row r="166" spans="1:24" x14ac:dyDescent="0.25">
      <c r="A166" s="36"/>
    </row>
    <row r="167" spans="1:24" x14ac:dyDescent="0.25">
      <c r="A167" s="36"/>
    </row>
    <row r="168" spans="1:24" x14ac:dyDescent="0.25">
      <c r="A168" s="36"/>
    </row>
    <row r="169" spans="1:24" ht="12" thickBot="1" x14ac:dyDescent="0.3">
      <c r="A169" s="36" t="str">
        <f>C35</f>
        <v>North Coast</v>
      </c>
      <c r="C169" s="28" t="str">
        <f>"Table 11: "&amp;A169&amp;" operating expenditure ($'000, $2025-26)"</f>
        <v>Table 11: North Coast operating expenditure ($'000, $2025-26)</v>
      </c>
    </row>
    <row r="170" spans="1:24" ht="34.5" x14ac:dyDescent="0.25">
      <c r="A170" s="36"/>
      <c r="C170" s="29"/>
      <c r="D170" s="101"/>
      <c r="E170" s="52"/>
      <c r="F170" s="126" t="str">
        <f>$F$24</f>
        <v>Total</v>
      </c>
      <c r="G170" s="54" t="str">
        <f>$G$24</f>
        <v>Customer Support</v>
      </c>
      <c r="H170" s="54" t="str">
        <f>$H$24</f>
        <v>Customer Billing</v>
      </c>
      <c r="I170" s="54" t="str">
        <f>$I$24</f>
        <v>Metering and Compliance</v>
      </c>
      <c r="J170" s="54" t="str">
        <f>$J$24</f>
        <v>New Metering and Compliance</v>
      </c>
      <c r="K170" s="54" t="str">
        <f>$K$24</f>
        <v>Water Delivery and Other Operations</v>
      </c>
      <c r="L170" s="54" t="str">
        <f>$L$24</f>
        <v>Catchment Planning and Operations</v>
      </c>
      <c r="M170" s="54" t="str">
        <f>$M$24</f>
        <v>Flood Operations</v>
      </c>
      <c r="N170" s="54" t="str">
        <f>$N$24</f>
        <v>Hydrometric Monitoring</v>
      </c>
      <c r="O170" s="54" t="str">
        <f>$O$24</f>
        <v>Water Quality Monitoring</v>
      </c>
      <c r="P170" s="54" t="str">
        <f>$P$24</f>
        <v>Direct Insurances</v>
      </c>
      <c r="Q170" s="54" t="str">
        <f>$Q$24</f>
        <v>Corrective Maintenance</v>
      </c>
      <c r="R170" s="54" t="str">
        <f>$R$24</f>
        <v>Routine Maintenance</v>
      </c>
      <c r="S170" s="55" t="str">
        <f>$S$24</f>
        <v>Renewal and Replacement</v>
      </c>
      <c r="T170" s="54" t="str">
        <f>$T$24</f>
        <v>Asset management planning</v>
      </c>
      <c r="U170" s="54" t="str">
        <f>$U$24</f>
        <v>Dam Safety Compliance</v>
      </c>
      <c r="V170" s="54" t="str">
        <f>$V$24</f>
        <v>Environmental Planning and Protection</v>
      </c>
      <c r="W170" s="54" t="str">
        <f>$W$24</f>
        <v>Environmental Delivery</v>
      </c>
      <c r="X170" s="139" t="str">
        <f>$X$24</f>
        <v>Corporate Systems</v>
      </c>
    </row>
    <row r="171" spans="1:24" x14ac:dyDescent="0.25">
      <c r="A171" s="36"/>
      <c r="C171" s="24" t="s">
        <v>58</v>
      </c>
      <c r="D171" s="25" t="s">
        <v>29</v>
      </c>
      <c r="E171" s="37"/>
      <c r="F171" s="127">
        <f>SUM(G171:Z171)</f>
        <v>1199.9555705604023</v>
      </c>
      <c r="G171" s="128">
        <f t="shared" ref="G171:X171" si="92">SUMIF($C$26:$C$38,$A169,G$26:G$38)</f>
        <v>185.78986876215009</v>
      </c>
      <c r="H171" s="128">
        <f t="shared" si="92"/>
        <v>1.408306970840697</v>
      </c>
      <c r="I171" s="128">
        <f t="shared" si="92"/>
        <v>5.8152024718943381E-2</v>
      </c>
      <c r="J171" s="128">
        <f>SUMIF($C$26:$C$38,$A169,J$26:J$38)</f>
        <v>0</v>
      </c>
      <c r="K171" s="128">
        <f t="shared" si="92"/>
        <v>91.595193826195015</v>
      </c>
      <c r="L171" s="128">
        <f>SUMIF($C$26:$C$38,$A169,L$26:L$38)</f>
        <v>0</v>
      </c>
      <c r="M171" s="128">
        <f t="shared" si="92"/>
        <v>0</v>
      </c>
      <c r="N171" s="128">
        <f t="shared" si="92"/>
        <v>59.534276983167622</v>
      </c>
      <c r="O171" s="128">
        <f t="shared" si="92"/>
        <v>18.707842747587815</v>
      </c>
      <c r="P171" s="128">
        <f>SUMIF($C$26:$C$38,$A169,P$26:P$38)</f>
        <v>39.493795602942946</v>
      </c>
      <c r="Q171" s="128">
        <f t="shared" si="92"/>
        <v>127.44479142362439</v>
      </c>
      <c r="R171" s="128">
        <f t="shared" si="92"/>
        <v>360.58378760864173</v>
      </c>
      <c r="S171" s="128">
        <f>SUMIF($C$26:$C$38,$A169,S$26:S$38)</f>
        <v>0.26463332184950994</v>
      </c>
      <c r="T171" s="128">
        <f t="shared" si="92"/>
        <v>49.588321077476039</v>
      </c>
      <c r="U171" s="128">
        <f t="shared" si="92"/>
        <v>176.68578019721235</v>
      </c>
      <c r="V171" s="128">
        <f t="shared" si="92"/>
        <v>6.4657698326726596</v>
      </c>
      <c r="W171" s="128">
        <f>SUMIF($C$26:$C$38,$A169,W$26:W$38)</f>
        <v>0</v>
      </c>
      <c r="X171" s="145">
        <f t="shared" si="92"/>
        <v>82.3350501813226</v>
      </c>
    </row>
    <row r="172" spans="1:24" x14ac:dyDescent="0.25">
      <c r="A172" s="36"/>
      <c r="C172" s="24" t="s">
        <v>53</v>
      </c>
      <c r="D172" s="25" t="s">
        <v>29</v>
      </c>
      <c r="E172" s="26"/>
      <c r="F172" s="129">
        <f>SUM(G172:Z172)</f>
        <v>1146.9503359582855</v>
      </c>
      <c r="G172" s="128">
        <f t="shared" ref="G172:X172" si="93">SUMIF($C$41:$C$53,$A169,G$41:G$53)</f>
        <v>61.011105305668934</v>
      </c>
      <c r="H172" s="128">
        <f t="shared" si="93"/>
        <v>2.5910948165509193</v>
      </c>
      <c r="I172" s="128">
        <f t="shared" si="93"/>
        <v>14.121970526018851</v>
      </c>
      <c r="J172" s="128">
        <f>SUMIF($C$41:$C$53,$A169,J$41:J$53)</f>
        <v>0</v>
      </c>
      <c r="K172" s="128">
        <f t="shared" si="93"/>
        <v>20.730097901605561</v>
      </c>
      <c r="L172" s="128">
        <f>SUMIF($C$41:$C$53,$A169,L$41:L$53)</f>
        <v>127.64182941338144</v>
      </c>
      <c r="M172" s="128">
        <f t="shared" si="93"/>
        <v>0</v>
      </c>
      <c r="N172" s="128">
        <f t="shared" si="93"/>
        <v>13.359134260254628</v>
      </c>
      <c r="O172" s="128">
        <f t="shared" si="93"/>
        <v>24.252635763892357</v>
      </c>
      <c r="P172" s="128">
        <f>SUMIF($C$41:$C$53,$A169,P$41:P$53)</f>
        <v>54.832817286198591</v>
      </c>
      <c r="Q172" s="128">
        <f t="shared" si="93"/>
        <v>19.951024008196967</v>
      </c>
      <c r="R172" s="128">
        <f t="shared" si="93"/>
        <v>269.30353294299124</v>
      </c>
      <c r="S172" s="128">
        <f>SUMIF($C$41:$C$53,$A169,S$41:S$53)</f>
        <v>3.3473648876686699</v>
      </c>
      <c r="T172" s="128">
        <f t="shared" si="93"/>
        <v>398.07277648876112</v>
      </c>
      <c r="U172" s="128">
        <f t="shared" si="93"/>
        <v>15.168392426386038</v>
      </c>
      <c r="V172" s="128">
        <f t="shared" si="93"/>
        <v>0</v>
      </c>
      <c r="W172" s="128">
        <f>SUMIF($C$41:$C$53,$A169,W$41:W$53)</f>
        <v>5.5273360818210247E-4</v>
      </c>
      <c r="X172" s="145">
        <f t="shared" si="93"/>
        <v>122.56600719710229</v>
      </c>
    </row>
    <row r="173" spans="1:24" x14ac:dyDescent="0.25">
      <c r="A173" s="36"/>
      <c r="C173" s="24" t="s">
        <v>54</v>
      </c>
      <c r="D173" s="25" t="s">
        <v>29</v>
      </c>
      <c r="E173" s="26"/>
      <c r="F173" s="129">
        <f>SUM(G173:Z173)</f>
        <v>1138.3919510567637</v>
      </c>
      <c r="G173" s="128">
        <f t="shared" ref="G173:X173" si="94">SUMIF($C$56:$C$68,$A169,G$56:G$68)</f>
        <v>56.109438476688474</v>
      </c>
      <c r="H173" s="128">
        <f t="shared" si="94"/>
        <v>2.5730386960383362</v>
      </c>
      <c r="I173" s="128">
        <f t="shared" si="94"/>
        <v>13.871381218307247</v>
      </c>
      <c r="J173" s="128">
        <f>SUMIF($C$56:$C$68,$A169,J$56:J$68)</f>
        <v>0</v>
      </c>
      <c r="K173" s="128">
        <f t="shared" si="94"/>
        <v>20.164985047682244</v>
      </c>
      <c r="L173" s="128">
        <f>SUMIF($C$56:$C$68,$A169,L$56:L$68)</f>
        <v>127.63524000911043</v>
      </c>
      <c r="M173" s="128">
        <f t="shared" si="94"/>
        <v>0</v>
      </c>
      <c r="N173" s="128">
        <f t="shared" si="94"/>
        <v>13.230737319151414</v>
      </c>
      <c r="O173" s="128">
        <f t="shared" si="94"/>
        <v>30.134950547169776</v>
      </c>
      <c r="P173" s="128">
        <f>SUMIF($C$56:$C$68,$A169,P$56:P$68)</f>
        <v>57.726390245355212</v>
      </c>
      <c r="Q173" s="128">
        <f t="shared" si="94"/>
        <v>19.719348895985515</v>
      </c>
      <c r="R173" s="128">
        <f t="shared" si="94"/>
        <v>267.97997485366204</v>
      </c>
      <c r="S173" s="128">
        <f>SUMIF($C$56:$C$68,$A169,S$56:S$68)</f>
        <v>3.3224601186794072</v>
      </c>
      <c r="T173" s="128">
        <f t="shared" si="94"/>
        <v>371.72310778718185</v>
      </c>
      <c r="U173" s="128">
        <f t="shared" si="94"/>
        <v>14.957323531550424</v>
      </c>
      <c r="V173" s="128">
        <f t="shared" si="94"/>
        <v>0</v>
      </c>
      <c r="W173" s="128">
        <f>SUMIF($C$56:$C$68,$A169,W$56:W$68)</f>
        <v>5.4888008550184602E-4</v>
      </c>
      <c r="X173" s="145">
        <f t="shared" si="94"/>
        <v>139.24302543011601</v>
      </c>
    </row>
    <row r="174" spans="1:24" ht="12" thickBot="1" x14ac:dyDescent="0.3">
      <c r="A174" s="36"/>
      <c r="C174" s="96" t="s">
        <v>55</v>
      </c>
      <c r="D174" s="97" t="s">
        <v>29</v>
      </c>
      <c r="E174" s="98"/>
      <c r="F174" s="130">
        <f>SUM(G174:Z174)</f>
        <v>1407.8208325241351</v>
      </c>
      <c r="G174" s="131">
        <f t="shared" ref="G174:X174" si="95">SUMIF($C$71:$C$83,$A169,G$71:G$83)</f>
        <v>55.680914202948045</v>
      </c>
      <c r="H174" s="131">
        <f t="shared" si="95"/>
        <v>2.5534675470598378</v>
      </c>
      <c r="I174" s="131">
        <f t="shared" si="95"/>
        <v>13.703036975536786</v>
      </c>
      <c r="J174" s="131">
        <f>SUMIF($C$71:$C$83,$A169,J$71:J$83)</f>
        <v>0</v>
      </c>
      <c r="K174" s="131">
        <f t="shared" si="95"/>
        <v>20.612865799525434</v>
      </c>
      <c r="L174" s="131">
        <f>SUMIF($C$71:$C$83,$A169,L$71:L$83)</f>
        <v>145.92643090458841</v>
      </c>
      <c r="M174" s="131">
        <f t="shared" si="95"/>
        <v>0</v>
      </c>
      <c r="N174" s="131">
        <f t="shared" si="95"/>
        <v>13.098215910473076</v>
      </c>
      <c r="O174" s="131">
        <f t="shared" si="95"/>
        <v>20.53693506947684</v>
      </c>
      <c r="P174" s="131">
        <f>SUMIF($C$71:$C$83,$A169,P$71:P$83)</f>
        <v>59.283215875045563</v>
      </c>
      <c r="Q174" s="131">
        <f t="shared" si="95"/>
        <v>19.478342482204795</v>
      </c>
      <c r="R174" s="131">
        <f t="shared" si="95"/>
        <v>266.44801642309494</v>
      </c>
      <c r="S174" s="131">
        <f>SUMIF($C$71:$C$83,$A169,S$71:S$83)</f>
        <v>3.2956938479975486</v>
      </c>
      <c r="T174" s="131">
        <f t="shared" si="95"/>
        <v>629.53364258813178</v>
      </c>
      <c r="U174" s="131">
        <f t="shared" si="95"/>
        <v>14.740824110131207</v>
      </c>
      <c r="V174" s="131">
        <f t="shared" si="95"/>
        <v>0</v>
      </c>
      <c r="W174" s="131">
        <f>SUMIF($C$71:$C$83,$A169,W$71:W$83)</f>
        <v>5.4471388632881313E-4</v>
      </c>
      <c r="X174" s="146">
        <f t="shared" si="95"/>
        <v>142.9286860740346</v>
      </c>
    </row>
    <row r="175" spans="1:24" x14ac:dyDescent="0.25">
      <c r="A175" s="36"/>
    </row>
    <row r="176" spans="1:24" x14ac:dyDescent="0.25">
      <c r="A176" s="36"/>
    </row>
    <row r="177" spans="1:24" x14ac:dyDescent="0.25">
      <c r="A177" s="36"/>
    </row>
    <row r="178" spans="1:24" ht="12" thickBot="1" x14ac:dyDescent="0.3">
      <c r="A178" s="36" t="str">
        <f>C36</f>
        <v>Hunter</v>
      </c>
      <c r="C178" s="28" t="str">
        <f>"Table 12: "&amp;A178&amp;" operating expenditure ($'000, $2025-26)"</f>
        <v>Table 12: Hunter operating expenditure ($'000, $2025-26)</v>
      </c>
    </row>
    <row r="179" spans="1:24" ht="34.5" x14ac:dyDescent="0.25">
      <c r="A179" s="36"/>
      <c r="C179" s="29"/>
      <c r="D179" s="101"/>
      <c r="E179" s="52"/>
      <c r="F179" s="126" t="str">
        <f>$F$24</f>
        <v>Total</v>
      </c>
      <c r="G179" s="54" t="str">
        <f>$G$24</f>
        <v>Customer Support</v>
      </c>
      <c r="H179" s="54" t="str">
        <f>$H$24</f>
        <v>Customer Billing</v>
      </c>
      <c r="I179" s="54" t="str">
        <f>$I$24</f>
        <v>Metering and Compliance</v>
      </c>
      <c r="J179" s="54" t="str">
        <f>$J$24</f>
        <v>New Metering and Compliance</v>
      </c>
      <c r="K179" s="54" t="str">
        <f>$K$24</f>
        <v>Water Delivery and Other Operations</v>
      </c>
      <c r="L179" s="54" t="str">
        <f>$L$24</f>
        <v>Catchment Planning and Operations</v>
      </c>
      <c r="M179" s="54" t="str">
        <f>$M$24</f>
        <v>Flood Operations</v>
      </c>
      <c r="N179" s="54" t="str">
        <f>$N$24</f>
        <v>Hydrometric Monitoring</v>
      </c>
      <c r="O179" s="54" t="str">
        <f>$O$24</f>
        <v>Water Quality Monitoring</v>
      </c>
      <c r="P179" s="54" t="str">
        <f>$P$24</f>
        <v>Direct Insurances</v>
      </c>
      <c r="Q179" s="54" t="str">
        <f>$Q$24</f>
        <v>Corrective Maintenance</v>
      </c>
      <c r="R179" s="54" t="str">
        <f>$R$24</f>
        <v>Routine Maintenance</v>
      </c>
      <c r="S179" s="55" t="str">
        <f>$S$24</f>
        <v>Renewal and Replacement</v>
      </c>
      <c r="T179" s="54" t="str">
        <f>$T$24</f>
        <v>Asset management planning</v>
      </c>
      <c r="U179" s="54" t="str">
        <f>$U$24</f>
        <v>Dam Safety Compliance</v>
      </c>
      <c r="V179" s="54" t="str">
        <f>$V$24</f>
        <v>Environmental Planning and Protection</v>
      </c>
      <c r="W179" s="54" t="str">
        <f>$W$24</f>
        <v>Environmental Delivery</v>
      </c>
      <c r="X179" s="139" t="str">
        <f>$X$24</f>
        <v>Corporate Systems</v>
      </c>
    </row>
    <row r="180" spans="1:24" x14ac:dyDescent="0.25">
      <c r="A180" s="36"/>
      <c r="C180" s="24" t="s">
        <v>58</v>
      </c>
      <c r="D180" s="25" t="s">
        <v>29</v>
      </c>
      <c r="E180" s="37"/>
      <c r="F180" s="127">
        <f>SUM(G180:Z180)</f>
        <v>5443.3172731511149</v>
      </c>
      <c r="G180" s="128">
        <f t="shared" ref="G180:X180" si="96">SUMIF($C$26:$C$38,$A178,G$26:G$38)</f>
        <v>140.29426826585623</v>
      </c>
      <c r="H180" s="128">
        <f t="shared" si="96"/>
        <v>35.978161368047786</v>
      </c>
      <c r="I180" s="128">
        <f t="shared" si="96"/>
        <v>123.69245878073313</v>
      </c>
      <c r="J180" s="128">
        <f>SUMIF($C$26:$C$38,$A178,J$26:J$38)</f>
        <v>0</v>
      </c>
      <c r="K180" s="128">
        <f t="shared" si="96"/>
        <v>842.18224660938472</v>
      </c>
      <c r="L180" s="128">
        <f>SUMIF($C$26:$C$38,$A178,L$26:L$38)</f>
        <v>0</v>
      </c>
      <c r="M180" s="128">
        <f t="shared" si="96"/>
        <v>0</v>
      </c>
      <c r="N180" s="128">
        <f t="shared" si="96"/>
        <v>285.42786601802226</v>
      </c>
      <c r="O180" s="128">
        <f t="shared" si="96"/>
        <v>96.576335358955745</v>
      </c>
      <c r="P180" s="128">
        <f>SUMIF($C$26:$C$38,$A178,P$26:P$38)</f>
        <v>142.44337235373015</v>
      </c>
      <c r="Q180" s="128">
        <f t="shared" si="96"/>
        <v>805.29541333341911</v>
      </c>
      <c r="R180" s="128">
        <f t="shared" si="96"/>
        <v>1722.4590730740449</v>
      </c>
      <c r="S180" s="128">
        <f>SUMIF($C$26:$C$38,$A178,S$26:S$38)</f>
        <v>1.3912346454527922</v>
      </c>
      <c r="T180" s="128">
        <f t="shared" si="96"/>
        <v>220.23372473330673</v>
      </c>
      <c r="U180" s="128">
        <f t="shared" si="96"/>
        <v>699.40518252525624</v>
      </c>
      <c r="V180" s="128">
        <f t="shared" si="96"/>
        <v>34.145790697365285</v>
      </c>
      <c r="W180" s="128">
        <f>SUMIF($C$26:$C$38,$A178,W$26:W$38)</f>
        <v>0</v>
      </c>
      <c r="X180" s="145">
        <f t="shared" si="96"/>
        <v>293.79214538753996</v>
      </c>
    </row>
    <row r="181" spans="1:24" x14ac:dyDescent="0.25">
      <c r="A181" s="36"/>
      <c r="C181" s="24" t="s">
        <v>53</v>
      </c>
      <c r="D181" s="25" t="s">
        <v>29</v>
      </c>
      <c r="E181" s="26"/>
      <c r="F181" s="129">
        <f>SUM(G181:Z181)</f>
        <v>4918.5333519866863</v>
      </c>
      <c r="G181" s="128">
        <f t="shared" ref="G181:X181" si="97">SUMIF($C$41:$C$53,$A178,G$41:G$53)</f>
        <v>247.55952717373222</v>
      </c>
      <c r="H181" s="128">
        <f t="shared" si="97"/>
        <v>56.758907043807092</v>
      </c>
      <c r="I181" s="128">
        <f t="shared" si="97"/>
        <v>455.28496375325096</v>
      </c>
      <c r="J181" s="128">
        <f>SUMIF($C$41:$C$53,$A178,J$41:J$53)</f>
        <v>0</v>
      </c>
      <c r="K181" s="128">
        <f t="shared" si="97"/>
        <v>383.63790960554292</v>
      </c>
      <c r="L181" s="128">
        <f>SUMIF($C$41:$C$53,$A178,L$41:L$53)</f>
        <v>349.53835622581357</v>
      </c>
      <c r="M181" s="128">
        <f t="shared" si="97"/>
        <v>0</v>
      </c>
      <c r="N181" s="128">
        <f t="shared" si="97"/>
        <v>252.17854859904719</v>
      </c>
      <c r="O181" s="128">
        <f t="shared" si="97"/>
        <v>98.103140611909382</v>
      </c>
      <c r="P181" s="128">
        <f>SUMIF($C$41:$C$53,$A178,P$41:P$53)</f>
        <v>224.80417219636183</v>
      </c>
      <c r="Q181" s="128">
        <f t="shared" si="97"/>
        <v>166.67635252416622</v>
      </c>
      <c r="R181" s="128">
        <f t="shared" si="97"/>
        <v>1073.2256929823736</v>
      </c>
      <c r="S181" s="128">
        <f>SUMIF($C$41:$C$53,$A178,S$41:S$53)</f>
        <v>7.9444152635969978</v>
      </c>
      <c r="T181" s="128">
        <f t="shared" si="97"/>
        <v>653.1407244329788</v>
      </c>
      <c r="U181" s="128">
        <f t="shared" si="97"/>
        <v>393.66651487056487</v>
      </c>
      <c r="V181" s="128">
        <f t="shared" si="97"/>
        <v>0</v>
      </c>
      <c r="W181" s="128">
        <f>SUMIF($C$41:$C$53,$A178,W$41:W$53)</f>
        <v>2.810469173472161E-3</v>
      </c>
      <c r="X181" s="145">
        <f t="shared" si="97"/>
        <v>556.0113162343672</v>
      </c>
    </row>
    <row r="182" spans="1:24" x14ac:dyDescent="0.25">
      <c r="A182" s="36"/>
      <c r="C182" s="24" t="s">
        <v>54</v>
      </c>
      <c r="D182" s="25" t="s">
        <v>29</v>
      </c>
      <c r="E182" s="26"/>
      <c r="F182" s="129">
        <f>SUM(G182:Z182)</f>
        <v>5138.9248883042255</v>
      </c>
      <c r="G182" s="128">
        <f t="shared" ref="G182:X182" si="98">SUMIF($C$56:$C$68,$A178,G$56:G$68)</f>
        <v>227.57334592399576</v>
      </c>
      <c r="H182" s="128">
        <f t="shared" si="98"/>
        <v>56.36322124063846</v>
      </c>
      <c r="I182" s="128">
        <f t="shared" si="98"/>
        <v>452.20545160602063</v>
      </c>
      <c r="J182" s="128">
        <f>SUMIF($C$56:$C$68,$A178,J$56:J$68)</f>
        <v>0</v>
      </c>
      <c r="K182" s="128">
        <f t="shared" si="98"/>
        <v>372.88652153150133</v>
      </c>
      <c r="L182" s="128">
        <f>SUMIF($C$56:$C$68,$A178,L$56:L$68)</f>
        <v>371.56910577803666</v>
      </c>
      <c r="M182" s="128">
        <f t="shared" si="98"/>
        <v>0</v>
      </c>
      <c r="N182" s="128">
        <f t="shared" si="98"/>
        <v>250.78050377784939</v>
      </c>
      <c r="O182" s="128">
        <f t="shared" si="98"/>
        <v>121.89732640079238</v>
      </c>
      <c r="P182" s="128">
        <f>SUMIF($C$56:$C$68,$A178,P$56:P$68)</f>
        <v>235.52673246907099</v>
      </c>
      <c r="Q182" s="128">
        <f t="shared" si="98"/>
        <v>164.74109667783588</v>
      </c>
      <c r="R182" s="128">
        <f t="shared" si="98"/>
        <v>1065.7331166779284</v>
      </c>
      <c r="S182" s="128">
        <f>SUMIF($C$56:$C$68,$A178,S$56:S$68)</f>
        <v>7.8853092191809049</v>
      </c>
      <c r="T182" s="128">
        <f t="shared" si="98"/>
        <v>792.06262536362829</v>
      </c>
      <c r="U182" s="128">
        <f t="shared" si="98"/>
        <v>390.36642333032785</v>
      </c>
      <c r="V182" s="128">
        <f t="shared" si="98"/>
        <v>0</v>
      </c>
      <c r="W182" s="128">
        <f>SUMIF($C$56:$C$68,$A178,W$56:W$68)</f>
        <v>2.7908752740931166E-3</v>
      </c>
      <c r="X182" s="145">
        <f t="shared" si="98"/>
        <v>629.33131743214426</v>
      </c>
    </row>
    <row r="183" spans="1:24" ht="12" thickBot="1" x14ac:dyDescent="0.3">
      <c r="A183" s="36"/>
      <c r="C183" s="96" t="s">
        <v>55</v>
      </c>
      <c r="D183" s="97" t="s">
        <v>29</v>
      </c>
      <c r="E183" s="98"/>
      <c r="F183" s="130">
        <f>SUM(G183:Z183)</f>
        <v>5019.5281765509271</v>
      </c>
      <c r="G183" s="131">
        <f t="shared" ref="G183:X183" si="99">SUMIF($C$71:$C$83,$A178,G$71:G$83)</f>
        <v>225.93788963829408</v>
      </c>
      <c r="H183" s="131">
        <f t="shared" si="99"/>
        <v>55.935379062666222</v>
      </c>
      <c r="I183" s="131">
        <f t="shared" si="99"/>
        <v>448.61810835297075</v>
      </c>
      <c r="J183" s="131">
        <f>SUMIF($C$71:$C$83,$A178,J$71:J$83)</f>
        <v>0</v>
      </c>
      <c r="K183" s="131">
        <f t="shared" si="99"/>
        <v>380.87756130481779</v>
      </c>
      <c r="L183" s="131">
        <f>SUMIF($C$71:$C$83,$A178,L$71:L$83)</f>
        <v>461.91821272182369</v>
      </c>
      <c r="M183" s="131">
        <f t="shared" si="99"/>
        <v>0</v>
      </c>
      <c r="N183" s="131">
        <f t="shared" si="99"/>
        <v>249.05488320140017</v>
      </c>
      <c r="O183" s="131">
        <f t="shared" si="99"/>
        <v>83.072809316922942</v>
      </c>
      <c r="P183" s="131">
        <f>SUMIF($C$71:$C$83,$A178,P$71:P$83)</f>
        <v>240.99921235496822</v>
      </c>
      <c r="Q183" s="131">
        <f t="shared" si="99"/>
        <v>162.72773714742874</v>
      </c>
      <c r="R183" s="131">
        <f t="shared" si="99"/>
        <v>1058.2569255436529</v>
      </c>
      <c r="S183" s="131">
        <f>SUMIF($C$71:$C$83,$A178,S$71:S$83)</f>
        <v>7.8217756858799472</v>
      </c>
      <c r="T183" s="131">
        <f t="shared" si="99"/>
        <v>565.86186343771124</v>
      </c>
      <c r="U183" s="131">
        <f t="shared" si="99"/>
        <v>386.87291129705767</v>
      </c>
      <c r="V183" s="131">
        <f t="shared" si="99"/>
        <v>0</v>
      </c>
      <c r="W183" s="131">
        <f>SUMIF($C$71:$C$83,$A178,W$71:W$83)</f>
        <v>2.7696915172651859E-3</v>
      </c>
      <c r="X183" s="146">
        <f t="shared" si="99"/>
        <v>691.57013779381566</v>
      </c>
    </row>
    <row r="184" spans="1:24" x14ac:dyDescent="0.25">
      <c r="A184" s="36"/>
    </row>
    <row r="185" spans="1:24" x14ac:dyDescent="0.25">
      <c r="A185" s="36"/>
    </row>
    <row r="186" spans="1:24" x14ac:dyDescent="0.25">
      <c r="A186" s="36"/>
    </row>
    <row r="187" spans="1:24" ht="12" thickBot="1" x14ac:dyDescent="0.3">
      <c r="A187" s="36" t="str">
        <f>C37</f>
        <v>South Coast</v>
      </c>
      <c r="C187" s="28" t="str">
        <f>"Table 13: "&amp;A187&amp;" operating expenditure ($'000, $2025-26)"</f>
        <v>Table 13: South Coast operating expenditure ($'000, $2025-26)</v>
      </c>
    </row>
    <row r="188" spans="1:24" ht="34.5" x14ac:dyDescent="0.25">
      <c r="A188" s="36"/>
      <c r="C188" s="29"/>
      <c r="D188" s="101"/>
      <c r="E188" s="52"/>
      <c r="F188" s="126" t="str">
        <f>$F$24</f>
        <v>Total</v>
      </c>
      <c r="G188" s="54" t="str">
        <f>$G$24</f>
        <v>Customer Support</v>
      </c>
      <c r="H188" s="54" t="str">
        <f>$H$24</f>
        <v>Customer Billing</v>
      </c>
      <c r="I188" s="54" t="str">
        <f>$I$24</f>
        <v>Metering and Compliance</v>
      </c>
      <c r="J188" s="54" t="str">
        <f>$J$24</f>
        <v>New Metering and Compliance</v>
      </c>
      <c r="K188" s="54" t="str">
        <f>$K$24</f>
        <v>Water Delivery and Other Operations</v>
      </c>
      <c r="L188" s="54" t="str">
        <f>$L$24</f>
        <v>Catchment Planning and Operations</v>
      </c>
      <c r="M188" s="54" t="str">
        <f>$M$24</f>
        <v>Flood Operations</v>
      </c>
      <c r="N188" s="54" t="str">
        <f>$N$24</f>
        <v>Hydrometric Monitoring</v>
      </c>
      <c r="O188" s="54" t="str">
        <f>$O$24</f>
        <v>Water Quality Monitoring</v>
      </c>
      <c r="P188" s="54" t="str">
        <f>$P$24</f>
        <v>Direct Insurances</v>
      </c>
      <c r="Q188" s="54" t="str">
        <f>$Q$24</f>
        <v>Corrective Maintenance</v>
      </c>
      <c r="R188" s="54" t="str">
        <f>$R$24</f>
        <v>Routine Maintenance</v>
      </c>
      <c r="S188" s="55" t="str">
        <f>$S$24</f>
        <v>Renewal and Replacement</v>
      </c>
      <c r="T188" s="54" t="str">
        <f>$T$24</f>
        <v>Asset management planning</v>
      </c>
      <c r="U188" s="54" t="str">
        <f>$U$24</f>
        <v>Dam Safety Compliance</v>
      </c>
      <c r="V188" s="54" t="str">
        <f>$V$24</f>
        <v>Environmental Planning and Protection</v>
      </c>
      <c r="W188" s="54" t="str">
        <f>$W$24</f>
        <v>Environmental Delivery</v>
      </c>
      <c r="X188" s="139" t="str">
        <f>$X$24</f>
        <v>Corporate Systems</v>
      </c>
    </row>
    <row r="189" spans="1:24" x14ac:dyDescent="0.25">
      <c r="A189" s="36"/>
      <c r="C189" s="24" t="s">
        <v>58</v>
      </c>
      <c r="D189" s="25" t="s">
        <v>29</v>
      </c>
      <c r="E189" s="37"/>
      <c r="F189" s="127">
        <f>SUM(G189:Z189)</f>
        <v>1108.9546652350753</v>
      </c>
      <c r="G189" s="128">
        <f t="shared" ref="G189:X189" si="100">SUMIF($C$26:$C$38,$A187,G$26:G$38)</f>
        <v>212.68193181075637</v>
      </c>
      <c r="H189" s="128">
        <f t="shared" si="100"/>
        <v>3.6203810963258531</v>
      </c>
      <c r="I189" s="128">
        <f t="shared" si="100"/>
        <v>0.31385040064883007</v>
      </c>
      <c r="J189" s="128">
        <f>SUMIF($C$26:$C$38,$A187,J$26:J$38)</f>
        <v>0</v>
      </c>
      <c r="K189" s="128">
        <f t="shared" si="100"/>
        <v>83.319748783103961</v>
      </c>
      <c r="L189" s="128">
        <f>SUMIF($C$26:$C$38,$A187,L$26:L$38)</f>
        <v>0</v>
      </c>
      <c r="M189" s="128">
        <f t="shared" si="100"/>
        <v>0</v>
      </c>
      <c r="N189" s="128">
        <f t="shared" si="100"/>
        <v>37.446463364977959</v>
      </c>
      <c r="O189" s="128">
        <f t="shared" si="100"/>
        <v>8.330498165145352</v>
      </c>
      <c r="P189" s="128">
        <f>SUMIF($C$26:$C$38,$A187,P$26:P$38)</f>
        <v>13.997405598860947</v>
      </c>
      <c r="Q189" s="128">
        <f t="shared" si="100"/>
        <v>41.80761700428404</v>
      </c>
      <c r="R189" s="128">
        <f t="shared" si="100"/>
        <v>476.10232629096356</v>
      </c>
      <c r="S189" s="128">
        <f>SUMIF($C$26:$C$38,$A187,S$26:S$38)</f>
        <v>0.22237787512395452</v>
      </c>
      <c r="T189" s="128">
        <f t="shared" si="100"/>
        <v>42.958967427332063</v>
      </c>
      <c r="U189" s="128">
        <f t="shared" si="100"/>
        <v>159.82583880390447</v>
      </c>
      <c r="V189" s="128">
        <f t="shared" si="100"/>
        <v>5.4496332668963126</v>
      </c>
      <c r="W189" s="128">
        <f>SUMIF($C$26:$C$38,$A187,W$26:W$38)</f>
        <v>0</v>
      </c>
      <c r="X189" s="145">
        <f t="shared" si="100"/>
        <v>22.877625346751575</v>
      </c>
    </row>
    <row r="190" spans="1:24" x14ac:dyDescent="0.25">
      <c r="A190" s="36"/>
      <c r="C190" s="24" t="s">
        <v>53</v>
      </c>
      <c r="D190" s="25" t="s">
        <v>29</v>
      </c>
      <c r="E190" s="26"/>
      <c r="F190" s="129">
        <f>SUM(G190:Z190)</f>
        <v>1392.2830413569991</v>
      </c>
      <c r="G190" s="128">
        <f t="shared" ref="G190:X190" si="101">SUMIF($C$41:$C$53,$A187,G$41:G$53)</f>
        <v>60.71297065106463</v>
      </c>
      <c r="H190" s="128">
        <f t="shared" si="101"/>
        <v>5.0071101508309157</v>
      </c>
      <c r="I190" s="128">
        <f t="shared" si="101"/>
        <v>1.3147489827014978</v>
      </c>
      <c r="J190" s="128">
        <f>SUMIF($C$41:$C$53,$A187,J$41:J$53)</f>
        <v>0</v>
      </c>
      <c r="K190" s="128">
        <f t="shared" si="101"/>
        <v>69.688058123470597</v>
      </c>
      <c r="L190" s="128">
        <f>SUMIF($C$41:$C$53,$A187,L$41:L$53)</f>
        <v>133.69750434324564</v>
      </c>
      <c r="M190" s="128">
        <f t="shared" si="101"/>
        <v>0</v>
      </c>
      <c r="N190" s="128">
        <f t="shared" si="101"/>
        <v>8.7413967913608115</v>
      </c>
      <c r="O190" s="128">
        <f t="shared" si="101"/>
        <v>10.924619385537646</v>
      </c>
      <c r="P190" s="128">
        <f>SUMIF($C$41:$C$53,$A187,P$41:P$53)</f>
        <v>24.891137767627949</v>
      </c>
      <c r="Q190" s="128">
        <f t="shared" si="101"/>
        <v>4.6522173161271301</v>
      </c>
      <c r="R190" s="128">
        <f t="shared" si="101"/>
        <v>228.87303329403272</v>
      </c>
      <c r="S190" s="128">
        <f>SUMIF($C$41:$C$53,$A187,S$41:S$53)</f>
        <v>2.7894776695558736</v>
      </c>
      <c r="T190" s="128">
        <f t="shared" si="101"/>
        <v>723.51796718739456</v>
      </c>
      <c r="U190" s="128">
        <f t="shared" si="101"/>
        <v>1.6163823398018933</v>
      </c>
      <c r="V190" s="128">
        <f t="shared" si="101"/>
        <v>0</v>
      </c>
      <c r="W190" s="128">
        <f>SUMIF($C$41:$C$53,$A187,W$41:W$53)</f>
        <v>4.0322369777218955E-4</v>
      </c>
      <c r="X190" s="145">
        <f t="shared" si="101"/>
        <v>115.8560141305495</v>
      </c>
    </row>
    <row r="191" spans="1:24" x14ac:dyDescent="0.25">
      <c r="A191" s="36"/>
      <c r="C191" s="24" t="s">
        <v>54</v>
      </c>
      <c r="D191" s="25" t="s">
        <v>29</v>
      </c>
      <c r="E191" s="26"/>
      <c r="F191" s="129">
        <f>SUM(G191:Z191)</f>
        <v>1421.1489303873557</v>
      </c>
      <c r="G191" s="128">
        <f t="shared" ref="G191:X191" si="102">SUMIF($C$56:$C$68,$A187,G$56:G$68)</f>
        <v>55.841224241795636</v>
      </c>
      <c r="H191" s="128">
        <f t="shared" si="102"/>
        <v>4.9721946090003932</v>
      </c>
      <c r="I191" s="128">
        <f t="shared" si="102"/>
        <v>1.2706465727904819</v>
      </c>
      <c r="J191" s="128">
        <f>SUMIF($C$56:$C$68,$A187,J$56:J$68)</f>
        <v>0</v>
      </c>
      <c r="K191" s="128">
        <f t="shared" si="102"/>
        <v>67.845911636081468</v>
      </c>
      <c r="L191" s="128">
        <f>SUMIF($C$56:$C$68,$A187,L$56:L$68)</f>
        <v>133.2097703118996</v>
      </c>
      <c r="M191" s="128">
        <f t="shared" si="102"/>
        <v>0</v>
      </c>
      <c r="N191" s="128">
        <f t="shared" si="102"/>
        <v>8.6213414795132959</v>
      </c>
      <c r="O191" s="128">
        <f t="shared" si="102"/>
        <v>13.57426524542236</v>
      </c>
      <c r="P191" s="128">
        <f>SUMIF($C$56:$C$68,$A187,P$56:P$68)</f>
        <v>26.126660694238002</v>
      </c>
      <c r="Q191" s="128">
        <f t="shared" si="102"/>
        <v>4.5981923522160217</v>
      </c>
      <c r="R191" s="128">
        <f t="shared" si="102"/>
        <v>226.49843045613264</v>
      </c>
      <c r="S191" s="128">
        <f>SUMIF($C$56:$C$68,$A187,S$56:S$68)</f>
        <v>2.7687178528831486</v>
      </c>
      <c r="T191" s="128">
        <f t="shared" si="102"/>
        <v>743.42758354611487</v>
      </c>
      <c r="U191" s="128">
        <f t="shared" si="102"/>
        <v>1.5939152943663728</v>
      </c>
      <c r="V191" s="128">
        <f t="shared" si="102"/>
        <v>0</v>
      </c>
      <c r="W191" s="128">
        <f>SUMIF($C$56:$C$68,$A187,W$56:W$68)</f>
        <v>4.0041252139069104E-4</v>
      </c>
      <c r="X191" s="145">
        <f t="shared" si="102"/>
        <v>130.79967568237993</v>
      </c>
    </row>
    <row r="192" spans="1:24" ht="12" thickBot="1" x14ac:dyDescent="0.3">
      <c r="A192" s="36"/>
      <c r="C192" s="96" t="s">
        <v>55</v>
      </c>
      <c r="D192" s="97" t="s">
        <v>29</v>
      </c>
      <c r="E192" s="98"/>
      <c r="F192" s="130">
        <f>SUM(G192:Z192)</f>
        <v>1295.8775501360976</v>
      </c>
      <c r="G192" s="131">
        <f t="shared" ref="G192:X192" si="103">SUMIF($C$71:$C$83,$A187,G$71:G$83)</f>
        <v>55.408226800171185</v>
      </c>
      <c r="H192" s="131">
        <f t="shared" si="103"/>
        <v>4.9344487276344928</v>
      </c>
      <c r="I192" s="131">
        <f t="shared" si="103"/>
        <v>1.3032536907916801</v>
      </c>
      <c r="J192" s="131">
        <f>SUMIF($C$71:$C$83,$A187,J$71:J$83)</f>
        <v>0</v>
      </c>
      <c r="K192" s="131">
        <f t="shared" si="103"/>
        <v>69.413176966204929</v>
      </c>
      <c r="L192" s="131">
        <f>SUMIF($C$71:$C$83,$A187,L$71:L$83)</f>
        <v>148.84855312088371</v>
      </c>
      <c r="M192" s="131">
        <f t="shared" si="103"/>
        <v>0</v>
      </c>
      <c r="N192" s="131">
        <f t="shared" si="103"/>
        <v>8.3943032067018706</v>
      </c>
      <c r="O192" s="131">
        <f t="shared" si="103"/>
        <v>9.2508679210371252</v>
      </c>
      <c r="P192" s="131">
        <f>SUMIF($C$71:$C$83,$A187,P$71:P$83)</f>
        <v>26.771125129046649</v>
      </c>
      <c r="Q192" s="131">
        <f t="shared" si="103"/>
        <v>4.5419872445363918</v>
      </c>
      <c r="R192" s="131">
        <f t="shared" si="103"/>
        <v>224.36964072569143</v>
      </c>
      <c r="S192" s="131">
        <f>SUMIF($C$71:$C$83,$A187,S$71:S$83)</f>
        <v>2.7464080247216729</v>
      </c>
      <c r="T192" s="131">
        <f t="shared" si="103"/>
        <v>605.71419242572574</v>
      </c>
      <c r="U192" s="131">
        <f t="shared" si="103"/>
        <v>1.5708581577589615</v>
      </c>
      <c r="V192" s="131">
        <f t="shared" si="103"/>
        <v>0</v>
      </c>
      <c r="W192" s="131">
        <f>SUMIF($C$71:$C$83,$A187,W$71:W$83)</f>
        <v>3.9737324494478989E-4</v>
      </c>
      <c r="X192" s="146">
        <f t="shared" si="103"/>
        <v>132.61011062194663</v>
      </c>
    </row>
    <row r="193" spans="1:24" x14ac:dyDescent="0.25">
      <c r="A193" s="36"/>
    </row>
    <row r="194" spans="1:24" x14ac:dyDescent="0.25">
      <c r="A194" s="36"/>
    </row>
    <row r="195" spans="1:24" x14ac:dyDescent="0.25">
      <c r="A195" s="36"/>
    </row>
    <row r="196" spans="1:24" ht="12" thickBot="1" x14ac:dyDescent="0.3">
      <c r="A196" s="36" t="str">
        <f>C38</f>
        <v>Fish River</v>
      </c>
      <c r="C196" s="28" t="str">
        <f>"Table 14: "&amp;A196&amp;" operating expenditure ($'000, $2025-26)"</f>
        <v>Table 14: Fish River operating expenditure ($'000, $2025-26)</v>
      </c>
    </row>
    <row r="197" spans="1:24" ht="34.5" x14ac:dyDescent="0.25">
      <c r="C197" s="29"/>
      <c r="D197" s="101"/>
      <c r="E197" s="52"/>
      <c r="F197" s="126" t="str">
        <f>$F$24</f>
        <v>Total</v>
      </c>
      <c r="G197" s="54" t="str">
        <f>$G$24</f>
        <v>Customer Support</v>
      </c>
      <c r="H197" s="54" t="str">
        <f>$H$24</f>
        <v>Customer Billing</v>
      </c>
      <c r="I197" s="54" t="str">
        <f>$I$24</f>
        <v>Metering and Compliance</v>
      </c>
      <c r="J197" s="54" t="str">
        <f>$J$24</f>
        <v>New Metering and Compliance</v>
      </c>
      <c r="K197" s="54" t="str">
        <f>$K$24</f>
        <v>Water Delivery and Other Operations</v>
      </c>
      <c r="L197" s="54" t="str">
        <f>$L$24</f>
        <v>Catchment Planning and Operations</v>
      </c>
      <c r="M197" s="54" t="str">
        <f>$M$24</f>
        <v>Flood Operations</v>
      </c>
      <c r="N197" s="54" t="str">
        <f>$N$24</f>
        <v>Hydrometric Monitoring</v>
      </c>
      <c r="O197" s="54" t="str">
        <f>$O$24</f>
        <v>Water Quality Monitoring</v>
      </c>
      <c r="P197" s="54" t="str">
        <f>$P$24</f>
        <v>Direct Insurances</v>
      </c>
      <c r="Q197" s="54" t="str">
        <f>$Q$24</f>
        <v>Corrective Maintenance</v>
      </c>
      <c r="R197" s="54" t="str">
        <f>$R$24</f>
        <v>Routine Maintenance</v>
      </c>
      <c r="S197" s="55" t="str">
        <f>$S$24</f>
        <v>Renewal and Replacement</v>
      </c>
      <c r="T197" s="54" t="str">
        <f>$T$24</f>
        <v>Asset management planning</v>
      </c>
      <c r="U197" s="54" t="str">
        <f>$U$24</f>
        <v>Dam Safety Compliance</v>
      </c>
      <c r="V197" s="54" t="str">
        <f>$V$24</f>
        <v>Environmental Planning and Protection</v>
      </c>
      <c r="W197" s="54" t="str">
        <f>$W$24</f>
        <v>Environmental Delivery</v>
      </c>
      <c r="X197" s="139" t="str">
        <f>$X$24</f>
        <v>Corporate Systems</v>
      </c>
    </row>
    <row r="198" spans="1:24" x14ac:dyDescent="0.25">
      <c r="C198" s="24" t="s">
        <v>58</v>
      </c>
      <c r="D198" s="25" t="s">
        <v>29</v>
      </c>
      <c r="E198" s="37"/>
      <c r="F198" s="127">
        <f>SUM(G198:Z198)</f>
        <v>6361.3179406868976</v>
      </c>
      <c r="G198" s="128">
        <f t="shared" ref="G198:X198" si="104">SUMIF($C$26:$C$38,$A196,G$26:G$38)</f>
        <v>266.63482471053726</v>
      </c>
      <c r="H198" s="128">
        <f t="shared" si="104"/>
        <v>51.439356077959864</v>
      </c>
      <c r="I198" s="128">
        <f t="shared" si="104"/>
        <v>114.9149142607</v>
      </c>
      <c r="J198" s="128">
        <f>SUMIF($C$26:$C$38,$A196,J$26:J$38)</f>
        <v>0</v>
      </c>
      <c r="K198" s="128">
        <f t="shared" si="104"/>
        <v>1053.8963765678004</v>
      </c>
      <c r="L198" s="128">
        <f>SUMIF($C$26:$C$38,$A196,L$26:L$38)</f>
        <v>0</v>
      </c>
      <c r="M198" s="128">
        <f t="shared" si="104"/>
        <v>0</v>
      </c>
      <c r="N198" s="128">
        <f t="shared" si="104"/>
        <v>237.61299230822382</v>
      </c>
      <c r="O198" s="128">
        <f t="shared" si="104"/>
        <v>71.009466848081146</v>
      </c>
      <c r="P198" s="128">
        <f>SUMIF($C$26:$C$38,$A196,P$26:P$38)</f>
        <v>106.74544135978952</v>
      </c>
      <c r="Q198" s="128">
        <f t="shared" si="104"/>
        <v>744.54504990674127</v>
      </c>
      <c r="R198" s="128">
        <f t="shared" si="104"/>
        <v>2991.1557146482332</v>
      </c>
      <c r="S198" s="128">
        <f>SUMIF($C$26:$C$38,$A196,S$26:S$38)</f>
        <v>1.8468286855200573</v>
      </c>
      <c r="T198" s="128">
        <f t="shared" si="104"/>
        <v>257.5639813753686</v>
      </c>
      <c r="U198" s="128">
        <f t="shared" si="104"/>
        <v>349.49832281398773</v>
      </c>
      <c r="V198" s="128">
        <f t="shared" si="104"/>
        <v>53.071833464879006</v>
      </c>
      <c r="W198" s="128">
        <f>SUMIF($C$26:$C$38,$A196,W$26:W$38)</f>
        <v>0</v>
      </c>
      <c r="X198" s="145">
        <f t="shared" si="104"/>
        <v>61.382837659075101</v>
      </c>
    </row>
    <row r="199" spans="1:24" x14ac:dyDescent="0.25">
      <c r="C199" s="24" t="s">
        <v>53</v>
      </c>
      <c r="D199" s="25" t="s">
        <v>29</v>
      </c>
      <c r="E199" s="26"/>
      <c r="F199" s="129">
        <f>SUM(G199:Z199)</f>
        <v>4681.685571279032</v>
      </c>
      <c r="G199" s="128">
        <f>SUMIF($C$41:$C$53,$A196,G$41:G$53)</f>
        <v>60.167234930173613</v>
      </c>
      <c r="H199" s="128">
        <f t="shared" ref="H199:X199" si="105">SUMIF($C$41:$C$53,$A196,H$41:H$53)</f>
        <v>22.634521418753327</v>
      </c>
      <c r="I199" s="128">
        <f t="shared" si="105"/>
        <v>0</v>
      </c>
      <c r="J199" s="128">
        <f>SUMIF($C$41:$C$53,$A196,J$41:J$53)</f>
        <v>0</v>
      </c>
      <c r="K199" s="128">
        <f t="shared" si="105"/>
        <v>369.31918210802559</v>
      </c>
      <c r="L199" s="128">
        <f>SUMIF($C$41:$C$53,$A196,L$41:L$53)</f>
        <v>77.397398426554687</v>
      </c>
      <c r="M199" s="128">
        <f t="shared" si="105"/>
        <v>0</v>
      </c>
      <c r="N199" s="128">
        <f t="shared" si="105"/>
        <v>14.682149658884319</v>
      </c>
      <c r="O199" s="128">
        <f t="shared" si="105"/>
        <v>860.55947232070105</v>
      </c>
      <c r="P199" s="128">
        <f>SUMIF($C$41:$C$53,$A196,P$41:P$53)</f>
        <v>191.91926700964817</v>
      </c>
      <c r="Q199" s="128">
        <f t="shared" si="105"/>
        <v>1149.5777314889945</v>
      </c>
      <c r="R199" s="128">
        <f t="shared" si="105"/>
        <v>1567.632846031948</v>
      </c>
      <c r="S199" s="128">
        <f>SUMIF($C$41:$C$53,$A196,S$41:S$53)</f>
        <v>5.6491836196828524</v>
      </c>
      <c r="T199" s="128">
        <f t="shared" si="105"/>
        <v>122.90689171581143</v>
      </c>
      <c r="U199" s="128">
        <f t="shared" si="105"/>
        <v>11.839314697355121</v>
      </c>
      <c r="V199" s="128">
        <f t="shared" si="105"/>
        <v>0</v>
      </c>
      <c r="W199" s="128">
        <f>SUMIF($C$41:$C$53,$A196,W$41:W$53)</f>
        <v>8.2366368825824779E-3</v>
      </c>
      <c r="X199" s="145">
        <f t="shared" si="105"/>
        <v>227.39214121561744</v>
      </c>
    </row>
    <row r="200" spans="1:24" x14ac:dyDescent="0.25">
      <c r="C200" s="24" t="s">
        <v>54</v>
      </c>
      <c r="D200" s="25" t="s">
        <v>29</v>
      </c>
      <c r="E200" s="26"/>
      <c r="F200" s="129">
        <f>SUM(G200:Z200)</f>
        <v>4795.6308785740639</v>
      </c>
      <c r="G200" s="128">
        <f>SUMIF($C$56:$C$68,$A196,G$56:G$68)</f>
        <v>55.348644859287852</v>
      </c>
      <c r="H200" s="128">
        <f t="shared" ref="H200:X200" si="106">SUMIF($C$56:$C$68,$A196,H$56:H$68)</f>
        <v>22.476718398509234</v>
      </c>
      <c r="I200" s="128">
        <f t="shared" si="106"/>
        <v>0</v>
      </c>
      <c r="J200" s="128">
        <f>SUMIF($C$56:$C$68,$A196,J$56:J$68)</f>
        <v>0</v>
      </c>
      <c r="K200" s="128">
        <f t="shared" si="106"/>
        <v>358.30141846387539</v>
      </c>
      <c r="L200" s="128">
        <f>SUMIF($C$56:$C$68,$A196,L$56:L$68)</f>
        <v>83.554050642744443</v>
      </c>
      <c r="M200" s="128">
        <f t="shared" si="106"/>
        <v>0</v>
      </c>
      <c r="N200" s="128">
        <f t="shared" si="106"/>
        <v>14.455860889244398</v>
      </c>
      <c r="O200" s="128">
        <f t="shared" si="106"/>
        <v>879.95515360871707</v>
      </c>
      <c r="P200" s="128">
        <f>SUMIF($C$56:$C$68,$A196,P$56:P$68)</f>
        <v>201.06127820696693</v>
      </c>
      <c r="Q200" s="128">
        <f t="shared" si="106"/>
        <v>1140.0675513138528</v>
      </c>
      <c r="R200" s="128">
        <f t="shared" si="106"/>
        <v>1551.5669825020868</v>
      </c>
      <c r="S200" s="128">
        <f>SUMIF($C$56:$C$68,$A196,S$56:S$68)</f>
        <v>5.6420044929238236</v>
      </c>
      <c r="T200" s="128">
        <f t="shared" si="106"/>
        <v>214.73769083432015</v>
      </c>
      <c r="U200" s="128">
        <f t="shared" si="106"/>
        <v>11.674330634162342</v>
      </c>
      <c r="V200" s="128">
        <f t="shared" si="106"/>
        <v>0</v>
      </c>
      <c r="W200" s="128">
        <f>SUMIF($C$56:$C$68,$A196,W$56:W$68)</f>
        <v>8.1792130773963613E-3</v>
      </c>
      <c r="X200" s="145">
        <f t="shared" si="106"/>
        <v>256.78101451429438</v>
      </c>
    </row>
    <row r="201" spans="1:24" ht="12" thickBot="1" x14ac:dyDescent="0.3">
      <c r="C201" s="96" t="s">
        <v>55</v>
      </c>
      <c r="D201" s="97" t="s">
        <v>29</v>
      </c>
      <c r="E201" s="98"/>
      <c r="F201" s="130">
        <f>SUM(G201:Z201)</f>
        <v>5332.4903523479734</v>
      </c>
      <c r="G201" s="131">
        <f>SUMIF($C$71:$C$83,$A196,G$71:G$83)</f>
        <v>54.909489452532384</v>
      </c>
      <c r="H201" s="131">
        <f t="shared" ref="H201:X201" si="107">SUMIF($C$71:$C$83,$A196,H$71:H$83)</f>
        <v>22.306120772144162</v>
      </c>
      <c r="I201" s="131">
        <f t="shared" si="107"/>
        <v>0</v>
      </c>
      <c r="J201" s="131">
        <f>SUMIF($C$71:$C$83,$A196,J$71:J$83)</f>
        <v>0</v>
      </c>
      <c r="K201" s="131">
        <f t="shared" si="107"/>
        <v>365.30879653808921</v>
      </c>
      <c r="L201" s="131">
        <f>SUMIF($C$71:$C$83,$A196,L$71:L$83)</f>
        <v>105.73876645559328</v>
      </c>
      <c r="M201" s="131">
        <f t="shared" si="107"/>
        <v>0</v>
      </c>
      <c r="N201" s="131">
        <f t="shared" si="107"/>
        <v>15.431981586258281</v>
      </c>
      <c r="O201" s="131">
        <f t="shared" si="107"/>
        <v>1231.6376863664248</v>
      </c>
      <c r="P201" s="131">
        <f>SUMIF($C$71:$C$83,$A196,P$71:P$83)</f>
        <v>205.72363239567599</v>
      </c>
      <c r="Q201" s="131">
        <f t="shared" si="107"/>
        <v>1129.9370677439274</v>
      </c>
      <c r="R201" s="131">
        <f t="shared" si="107"/>
        <v>1537.542266499891</v>
      </c>
      <c r="S201" s="131">
        <f>SUMIF($C$71:$C$83,$A196,S$71:S$83)</f>
        <v>5.6309495509572791</v>
      </c>
      <c r="T201" s="131">
        <f t="shared" si="107"/>
        <v>363.71618606591272</v>
      </c>
      <c r="U201" s="131">
        <f t="shared" si="107"/>
        <v>11.505402022662404</v>
      </c>
      <c r="V201" s="131">
        <f t="shared" si="107"/>
        <v>0</v>
      </c>
      <c r="W201" s="131">
        <f>SUMIF($C$71:$C$83,$A196,W$71:W$83)</f>
        <v>8.1171298798834602E-3</v>
      </c>
      <c r="X201" s="146">
        <f t="shared" si="107"/>
        <v>283.0938897680241</v>
      </c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C7A5-6A59-420F-BD11-E373B2D7E786}">
  <dimension ref="A3:V201"/>
  <sheetViews>
    <sheetView showGridLines="0" zoomScaleNormal="100" workbookViewId="0"/>
  </sheetViews>
  <sheetFormatPr defaultRowHeight="11.5" x14ac:dyDescent="0.25"/>
  <cols>
    <col min="1" max="2" width="3.69921875" style="25" customWidth="1"/>
    <col min="3" max="3" width="21.8984375" style="25" customWidth="1"/>
    <col min="4" max="4" width="6.59765625" style="25" customWidth="1"/>
    <col min="5" max="5" width="8.09765625" style="25" customWidth="1"/>
    <col min="6" max="6" width="10.8984375" style="25" customWidth="1"/>
    <col min="7" max="20" width="13.19921875" style="25" customWidth="1"/>
    <col min="21" max="16384" width="8.796875" style="25"/>
  </cols>
  <sheetData>
    <row r="3" spans="3:20" ht="15.5" x14ac:dyDescent="0.25">
      <c r="C3" s="27" t="s">
        <v>51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5" spans="3:20" x14ac:dyDescent="0.25">
      <c r="C5" s="25" t="s">
        <v>106</v>
      </c>
      <c r="D5" s="43"/>
      <c r="K5" s="102" t="s">
        <v>107</v>
      </c>
      <c r="L5" s="102"/>
      <c r="M5" s="102"/>
    </row>
    <row r="6" spans="3:20" x14ac:dyDescent="0.25">
      <c r="C6" s="115" t="str">
        <f>C23</f>
        <v>Table 1: Draft report user share of capital expenditure by cost category by valley ($'000, $2025-26)</v>
      </c>
      <c r="D6" s="116"/>
      <c r="E6" s="115"/>
      <c r="F6" s="115"/>
      <c r="G6" s="115"/>
      <c r="H6" s="115"/>
      <c r="I6" s="115"/>
      <c r="J6" s="115"/>
      <c r="K6" s="117">
        <f>ROW(C23)</f>
        <v>23</v>
      </c>
      <c r="L6" s="44"/>
      <c r="M6" s="44"/>
    </row>
    <row r="7" spans="3:20" x14ac:dyDescent="0.25">
      <c r="C7" s="25" t="str">
        <f>C88</f>
        <v>Table 2: Border capital expenditure ($'000, $2025-26)</v>
      </c>
      <c r="D7" s="43"/>
      <c r="K7" s="44">
        <f>ROW(C88)</f>
        <v>88</v>
      </c>
      <c r="L7" s="44"/>
      <c r="M7" s="44"/>
    </row>
    <row r="8" spans="3:20" x14ac:dyDescent="0.25">
      <c r="C8" s="25" t="str">
        <f>C97</f>
        <v>Table 3: Gwydir capital expenditure ($'000, $2025-26)</v>
      </c>
      <c r="D8" s="43"/>
      <c r="K8" s="44">
        <f>ROW(C97)</f>
        <v>97</v>
      </c>
      <c r="L8" s="44"/>
      <c r="M8" s="44"/>
    </row>
    <row r="9" spans="3:20" x14ac:dyDescent="0.25">
      <c r="C9" s="25" t="str">
        <f>C106</f>
        <v>Table 4: Namoi capital expenditure ($'000, $2025-26)</v>
      </c>
      <c r="D9" s="43"/>
      <c r="K9" s="44">
        <f>ROW(C106)</f>
        <v>106</v>
      </c>
      <c r="L9" s="44"/>
      <c r="M9" s="44"/>
    </row>
    <row r="10" spans="3:20" x14ac:dyDescent="0.25">
      <c r="C10" s="25" t="str">
        <f>C115</f>
        <v>Table 5: Peel capital expenditure ($'000, $2025-26)</v>
      </c>
      <c r="D10" s="43"/>
      <c r="K10" s="44">
        <f>ROW(C115)</f>
        <v>115</v>
      </c>
      <c r="L10" s="44"/>
      <c r="M10" s="44"/>
    </row>
    <row r="11" spans="3:20" x14ac:dyDescent="0.25">
      <c r="C11" s="25" t="str">
        <f>C124</f>
        <v>Table 6: Lachlan capital expenditure ($'000, $2025-26)</v>
      </c>
      <c r="D11" s="43"/>
      <c r="K11" s="44">
        <f>ROW(C124)</f>
        <v>124</v>
      </c>
      <c r="L11" s="44"/>
      <c r="M11" s="44"/>
    </row>
    <row r="12" spans="3:20" x14ac:dyDescent="0.25">
      <c r="C12" s="25" t="str">
        <f>C133</f>
        <v>Table 7: Macquarie capital expenditure ($'000, $2025-26)</v>
      </c>
      <c r="D12" s="43"/>
      <c r="K12" s="44">
        <f>ROW(C133)</f>
        <v>133</v>
      </c>
      <c r="L12" s="44"/>
      <c r="M12" s="44"/>
    </row>
    <row r="13" spans="3:20" x14ac:dyDescent="0.25">
      <c r="C13" s="25" t="str">
        <f>C142</f>
        <v>Table 8: Murray capital expenditure ($'000, $2025-26)</v>
      </c>
      <c r="D13" s="43"/>
      <c r="K13" s="44">
        <f>ROW(C142)</f>
        <v>142</v>
      </c>
      <c r="L13" s="44"/>
      <c r="M13" s="44"/>
    </row>
    <row r="14" spans="3:20" x14ac:dyDescent="0.25">
      <c r="C14" s="25" t="str">
        <f>C151</f>
        <v>Table 9: Murrumbidgee capital expenditure ($'000, $2025-26)</v>
      </c>
      <c r="D14" s="43"/>
      <c r="K14" s="44">
        <f>ROW(C151)</f>
        <v>151</v>
      </c>
      <c r="L14" s="44"/>
      <c r="M14" s="44"/>
    </row>
    <row r="15" spans="3:20" x14ac:dyDescent="0.25">
      <c r="C15" s="25" t="str">
        <f>C160</f>
        <v>Table 10: Lowbidgee capital expenditure ($'000, $2025-26)</v>
      </c>
      <c r="D15" s="43"/>
      <c r="K15" s="44">
        <f>ROW(C160)</f>
        <v>160</v>
      </c>
      <c r="L15" s="44"/>
      <c r="M15" s="44"/>
    </row>
    <row r="16" spans="3:20" x14ac:dyDescent="0.25">
      <c r="C16" s="25" t="str">
        <f>C169</f>
        <v>Table 11: North Coast capital expenditure ($'000, $2025-26)</v>
      </c>
      <c r="D16" s="43"/>
      <c r="K16" s="44">
        <f>ROW(C169)</f>
        <v>169</v>
      </c>
      <c r="L16" s="44"/>
      <c r="M16" s="44"/>
    </row>
    <row r="17" spans="3:20" x14ac:dyDescent="0.25">
      <c r="C17" s="25" t="str">
        <f>C178</f>
        <v>Table 12: Hunter capital expenditure ($'000, $2025-26)</v>
      </c>
      <c r="D17" s="43"/>
      <c r="K17" s="44">
        <f>ROW(C178)</f>
        <v>178</v>
      </c>
      <c r="L17" s="44"/>
      <c r="M17" s="44"/>
    </row>
    <row r="18" spans="3:20" x14ac:dyDescent="0.25">
      <c r="C18" s="25" t="str">
        <f>C187</f>
        <v>Table 13: South Coast capital expenditure ($'000, $2025-26)</v>
      </c>
      <c r="D18" s="43"/>
      <c r="K18" s="44">
        <f>ROW(C187)</f>
        <v>187</v>
      </c>
      <c r="L18" s="44"/>
      <c r="M18" s="44"/>
    </row>
    <row r="19" spans="3:20" x14ac:dyDescent="0.25">
      <c r="C19" s="118" t="str">
        <f>C196</f>
        <v>Table 14: Fish River capital expenditure ($'000, $2025-26)</v>
      </c>
      <c r="D19" s="119"/>
      <c r="E19" s="118"/>
      <c r="F19" s="118"/>
      <c r="G19" s="118"/>
      <c r="H19" s="118"/>
      <c r="I19" s="118"/>
      <c r="J19" s="118"/>
      <c r="K19" s="120">
        <f>ROW(C196)</f>
        <v>196</v>
      </c>
      <c r="L19" s="44"/>
      <c r="M19" s="44"/>
    </row>
    <row r="23" spans="3:20" ht="12" thickBot="1" x14ac:dyDescent="0.3">
      <c r="C23" s="28" t="s">
        <v>110</v>
      </c>
    </row>
    <row r="24" spans="3:20" ht="46" x14ac:dyDescent="0.25">
      <c r="C24" s="29" t="s">
        <v>9</v>
      </c>
      <c r="D24" s="87"/>
      <c r="E24" s="88"/>
      <c r="F24" s="89" t="s">
        <v>10</v>
      </c>
      <c r="G24" s="90" t="s">
        <v>48</v>
      </c>
      <c r="H24" s="90" t="s">
        <v>43</v>
      </c>
      <c r="I24" s="90" t="s">
        <v>15</v>
      </c>
      <c r="J24" s="90" t="s">
        <v>16</v>
      </c>
      <c r="K24" s="90" t="s">
        <v>17</v>
      </c>
      <c r="L24" s="90" t="s">
        <v>115</v>
      </c>
      <c r="M24" s="90" t="s">
        <v>18</v>
      </c>
      <c r="N24" s="90" t="s">
        <v>19</v>
      </c>
      <c r="O24" s="90" t="s">
        <v>46</v>
      </c>
      <c r="P24" s="90" t="s">
        <v>44</v>
      </c>
      <c r="Q24" s="90" t="s">
        <v>21</v>
      </c>
      <c r="R24" s="90" t="s">
        <v>47</v>
      </c>
      <c r="S24" s="90" t="s">
        <v>45</v>
      </c>
      <c r="T24" s="91" t="s">
        <v>49</v>
      </c>
    </row>
    <row r="25" spans="3:20" ht="15.5" x14ac:dyDescent="0.35">
      <c r="C25" s="30" t="s">
        <v>57</v>
      </c>
      <c r="D25" s="31"/>
      <c r="E25" s="32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92"/>
    </row>
    <row r="26" spans="3:20" x14ac:dyDescent="0.25">
      <c r="C26" s="58" t="s">
        <v>28</v>
      </c>
      <c r="D26" s="25" t="s">
        <v>29</v>
      </c>
      <c r="E26" s="26"/>
      <c r="F26" s="114">
        <f t="shared" ref="F26:F39" si="0">SUM(G26:T26)</f>
        <v>534.58022543653544</v>
      </c>
      <c r="G26" s="135">
        <v>0</v>
      </c>
      <c r="H26" s="135">
        <v>0</v>
      </c>
      <c r="I26" s="135">
        <v>0</v>
      </c>
      <c r="J26" s="135">
        <v>0</v>
      </c>
      <c r="K26" s="135">
        <v>0</v>
      </c>
      <c r="L26" s="135">
        <v>0</v>
      </c>
      <c r="M26" s="135">
        <v>0</v>
      </c>
      <c r="N26" s="135">
        <v>6.2361780253346959</v>
      </c>
      <c r="O26" s="135">
        <v>228.065519759284</v>
      </c>
      <c r="P26" s="135">
        <v>26.974492561765132</v>
      </c>
      <c r="Q26" s="135">
        <v>121.90821312501753</v>
      </c>
      <c r="R26" s="135">
        <v>0</v>
      </c>
      <c r="S26" s="135">
        <v>0</v>
      </c>
      <c r="T26" s="136">
        <v>151.39582196513405</v>
      </c>
    </row>
    <row r="27" spans="3:20" x14ac:dyDescent="0.25">
      <c r="C27" s="58" t="s">
        <v>30</v>
      </c>
      <c r="D27" s="25" t="s">
        <v>29</v>
      </c>
      <c r="E27" s="26"/>
      <c r="F27" s="114">
        <f t="shared" si="0"/>
        <v>4248.1204858738092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27.656026841607368</v>
      </c>
      <c r="O27" s="135">
        <v>1251.6272979194791</v>
      </c>
      <c r="P27" s="135">
        <v>139.69847637415643</v>
      </c>
      <c r="Q27" s="135">
        <v>788.05972613817903</v>
      </c>
      <c r="R27" s="135">
        <v>0</v>
      </c>
      <c r="S27" s="135">
        <v>1202.1845424576481</v>
      </c>
      <c r="T27" s="136">
        <v>838.8944161427396</v>
      </c>
    </row>
    <row r="28" spans="3:20" x14ac:dyDescent="0.25">
      <c r="C28" s="58" t="s">
        <v>31</v>
      </c>
      <c r="D28" s="25" t="s">
        <v>29</v>
      </c>
      <c r="E28" s="26"/>
      <c r="F28" s="114">
        <f t="shared" si="0"/>
        <v>5671.10307190617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493.17055141317644</v>
      </c>
      <c r="N28" s="135">
        <v>32.891115716256927</v>
      </c>
      <c r="O28" s="135">
        <v>987.24959119069126</v>
      </c>
      <c r="P28" s="135">
        <v>177.37430515573038</v>
      </c>
      <c r="Q28" s="135">
        <v>621.62577201615568</v>
      </c>
      <c r="R28" s="135">
        <v>0</v>
      </c>
      <c r="S28" s="135">
        <v>2286.6106283765239</v>
      </c>
      <c r="T28" s="136">
        <v>1072.1811080376358</v>
      </c>
    </row>
    <row r="29" spans="3:20" x14ac:dyDescent="0.25">
      <c r="C29" s="58" t="s">
        <v>32</v>
      </c>
      <c r="D29" s="25" t="s">
        <v>29</v>
      </c>
      <c r="E29" s="26"/>
      <c r="F29" s="114">
        <f t="shared" si="0"/>
        <v>514.15098172651597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8.100600506304195</v>
      </c>
      <c r="O29" s="135">
        <v>200.75169583334204</v>
      </c>
      <c r="P29" s="135">
        <v>42.81794037670565</v>
      </c>
      <c r="Q29" s="135">
        <v>74.484544402779548</v>
      </c>
      <c r="R29" s="135">
        <v>0</v>
      </c>
      <c r="S29" s="135">
        <v>0</v>
      </c>
      <c r="T29" s="136">
        <v>187.99620060738457</v>
      </c>
    </row>
    <row r="30" spans="3:20" x14ac:dyDescent="0.25">
      <c r="C30" s="58" t="s">
        <v>33</v>
      </c>
      <c r="D30" s="25" t="s">
        <v>29</v>
      </c>
      <c r="E30" s="26"/>
      <c r="F30" s="114">
        <f t="shared" si="0"/>
        <v>11891.784391091313</v>
      </c>
      <c r="G30" s="135">
        <v>0</v>
      </c>
      <c r="H30" s="135">
        <v>699.07343542107776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36.456146122062954</v>
      </c>
      <c r="O30" s="135">
        <v>5055.8018499151667</v>
      </c>
      <c r="P30" s="135">
        <v>172.70863187545351</v>
      </c>
      <c r="Q30" s="135">
        <v>3077.0038176187663</v>
      </c>
      <c r="R30" s="135">
        <v>0</v>
      </c>
      <c r="S30" s="135">
        <v>1827.1497482526552</v>
      </c>
      <c r="T30" s="136">
        <v>1023.5907618861294</v>
      </c>
    </row>
    <row r="31" spans="3:20" x14ac:dyDescent="0.25">
      <c r="C31" s="58" t="s">
        <v>34</v>
      </c>
      <c r="D31" s="25" t="s">
        <v>29</v>
      </c>
      <c r="E31" s="26"/>
      <c r="F31" s="114">
        <f t="shared" si="0"/>
        <v>7169.3038984950381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33.119915133971766</v>
      </c>
      <c r="O31" s="135">
        <v>3298.5714100739606</v>
      </c>
      <c r="P31" s="135">
        <v>153.10998952777695</v>
      </c>
      <c r="Q31" s="135">
        <v>581.28489356548846</v>
      </c>
      <c r="R31" s="135">
        <v>0</v>
      </c>
      <c r="S31" s="135">
        <v>1943.8216366346985</v>
      </c>
      <c r="T31" s="136">
        <v>1159.3960535591416</v>
      </c>
    </row>
    <row r="32" spans="3:20" x14ac:dyDescent="0.25">
      <c r="C32" s="58" t="s">
        <v>35</v>
      </c>
      <c r="D32" s="25" t="s">
        <v>29</v>
      </c>
      <c r="E32" s="26"/>
      <c r="F32" s="114">
        <f t="shared" si="0"/>
        <v>5040.2080108870441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21.068794523263723</v>
      </c>
      <c r="O32" s="135">
        <v>1958.0051573091405</v>
      </c>
      <c r="P32" s="135">
        <v>94.552219780619083</v>
      </c>
      <c r="Q32" s="135">
        <v>2077.7227112295964</v>
      </c>
      <c r="R32" s="135">
        <v>0</v>
      </c>
      <c r="S32" s="135">
        <v>0</v>
      </c>
      <c r="T32" s="136">
        <v>888.85912804442421</v>
      </c>
    </row>
    <row r="33" spans="3:22" x14ac:dyDescent="0.25">
      <c r="C33" s="58" t="s">
        <v>36</v>
      </c>
      <c r="D33" s="25" t="s">
        <v>29</v>
      </c>
      <c r="E33" s="26"/>
      <c r="F33" s="114">
        <f t="shared" si="0"/>
        <v>8529.2640850797925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49.492550952291104</v>
      </c>
      <c r="O33" s="135">
        <v>5729.4557963246834</v>
      </c>
      <c r="P33" s="135">
        <v>228.92779582948609</v>
      </c>
      <c r="Q33" s="135">
        <v>1012.3776437132173</v>
      </c>
      <c r="R33" s="135">
        <v>0</v>
      </c>
      <c r="S33" s="135">
        <v>29.841095168134196</v>
      </c>
      <c r="T33" s="136">
        <v>1479.1692030919799</v>
      </c>
    </row>
    <row r="34" spans="3:22" x14ac:dyDescent="0.25">
      <c r="C34" s="58" t="s">
        <v>37</v>
      </c>
      <c r="D34" s="25" t="s">
        <v>29</v>
      </c>
      <c r="E34" s="26"/>
      <c r="F34" s="114">
        <f t="shared" si="0"/>
        <v>1659.0776509421751</v>
      </c>
      <c r="G34" s="135">
        <v>0</v>
      </c>
      <c r="H34" s="135">
        <v>0</v>
      </c>
      <c r="I34" s="135">
        <v>0</v>
      </c>
      <c r="J34" s="135">
        <v>0</v>
      </c>
      <c r="K34" s="135">
        <v>0</v>
      </c>
      <c r="L34" s="135">
        <v>0</v>
      </c>
      <c r="M34" s="135">
        <v>0</v>
      </c>
      <c r="N34" s="135">
        <v>3.0652672919904878</v>
      </c>
      <c r="O34" s="135">
        <v>1571.9917993293743</v>
      </c>
      <c r="P34" s="135">
        <v>0</v>
      </c>
      <c r="Q34" s="135">
        <v>0</v>
      </c>
      <c r="R34" s="135">
        <v>0</v>
      </c>
      <c r="S34" s="135">
        <v>0</v>
      </c>
      <c r="T34" s="136">
        <v>84.020584320810215</v>
      </c>
    </row>
    <row r="35" spans="3:22" x14ac:dyDescent="0.25">
      <c r="C35" s="58" t="s">
        <v>38</v>
      </c>
      <c r="D35" s="25" t="s">
        <v>29</v>
      </c>
      <c r="E35" s="26"/>
      <c r="F35" s="114">
        <f t="shared" si="0"/>
        <v>460.01887307667869</v>
      </c>
      <c r="G35" s="135">
        <v>0</v>
      </c>
      <c r="H35" s="135">
        <v>0</v>
      </c>
      <c r="I35" s="135">
        <v>0</v>
      </c>
      <c r="J35" s="135">
        <v>0</v>
      </c>
      <c r="K35" s="135">
        <v>0</v>
      </c>
      <c r="L35" s="135">
        <v>0</v>
      </c>
      <c r="M35" s="135">
        <v>0</v>
      </c>
      <c r="N35" s="135">
        <v>5.3371145012790207</v>
      </c>
      <c r="O35" s="135">
        <v>172.08495441571802</v>
      </c>
      <c r="P35" s="135">
        <v>23.387840211057284</v>
      </c>
      <c r="Q35" s="135">
        <v>48.397236418019986</v>
      </c>
      <c r="R35" s="135">
        <v>0</v>
      </c>
      <c r="S35" s="135">
        <v>29.841095168134196</v>
      </c>
      <c r="T35" s="136">
        <v>180.97063236247013</v>
      </c>
    </row>
    <row r="36" spans="3:22" x14ac:dyDescent="0.25">
      <c r="C36" s="58" t="s">
        <v>39</v>
      </c>
      <c r="D36" s="25" t="s">
        <v>29</v>
      </c>
      <c r="E36" s="26"/>
      <c r="F36" s="114">
        <f t="shared" si="0"/>
        <v>3118.5722372747787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22.978601424564182</v>
      </c>
      <c r="O36" s="135">
        <v>1766.5960159031722</v>
      </c>
      <c r="P36" s="135">
        <v>95.86213497996215</v>
      </c>
      <c r="Q36" s="135">
        <v>403.74182139910522</v>
      </c>
      <c r="R36" s="135">
        <v>0</v>
      </c>
      <c r="S36" s="135">
        <v>59.682190336268391</v>
      </c>
      <c r="T36" s="136">
        <v>769.71147323170624</v>
      </c>
    </row>
    <row r="37" spans="3:22" x14ac:dyDescent="0.25">
      <c r="C37" s="58" t="s">
        <v>40</v>
      </c>
      <c r="D37" s="25" t="s">
        <v>29</v>
      </c>
      <c r="E37" s="26"/>
      <c r="F37" s="114">
        <f t="shared" si="0"/>
        <v>331.77775540144654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4.1066665252061387</v>
      </c>
      <c r="O37" s="135">
        <v>143.36138361093549</v>
      </c>
      <c r="P37" s="135">
        <v>18.479189145003993</v>
      </c>
      <c r="Q37" s="135">
        <v>49.710214182089977</v>
      </c>
      <c r="R37" s="135">
        <v>0</v>
      </c>
      <c r="S37" s="135">
        <v>0</v>
      </c>
      <c r="T37" s="136">
        <v>116.12030193821091</v>
      </c>
    </row>
    <row r="38" spans="3:22" x14ac:dyDescent="0.25">
      <c r="C38" s="58" t="s">
        <v>41</v>
      </c>
      <c r="D38" s="25" t="s">
        <v>29</v>
      </c>
      <c r="E38" s="26"/>
      <c r="F38" s="114">
        <f t="shared" si="0"/>
        <v>4885.4068931493157</v>
      </c>
      <c r="G38" s="135">
        <v>0</v>
      </c>
      <c r="H38" s="135">
        <v>536.63299493053614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30.835887195321376</v>
      </c>
      <c r="O38" s="135">
        <v>2542.9003761032714</v>
      </c>
      <c r="P38" s="135">
        <v>145.10269372630361</v>
      </c>
      <c r="Q38" s="135">
        <v>562.18967588881321</v>
      </c>
      <c r="R38" s="135">
        <v>0</v>
      </c>
      <c r="S38" s="135">
        <v>0</v>
      </c>
      <c r="T38" s="136">
        <v>1067.74526530507</v>
      </c>
      <c r="V38"/>
    </row>
    <row r="39" spans="3:22" x14ac:dyDescent="0.25">
      <c r="C39" s="24" t="s">
        <v>50</v>
      </c>
      <c r="D39" s="25" t="s">
        <v>29</v>
      </c>
      <c r="E39" s="26"/>
      <c r="F39" s="121">
        <f t="shared" si="0"/>
        <v>54053.368560340619</v>
      </c>
      <c r="G39" s="137">
        <f>SUM(G26:G38)</f>
        <v>0</v>
      </c>
      <c r="H39" s="137">
        <f>SUM(H26:H38)</f>
        <v>1235.706430351614</v>
      </c>
      <c r="I39" s="137">
        <f t="shared" ref="I39:T39" si="1">SUM(I26:I38)</f>
        <v>0</v>
      </c>
      <c r="J39" s="137">
        <f t="shared" si="1"/>
        <v>0</v>
      </c>
      <c r="K39" s="137">
        <f t="shared" si="1"/>
        <v>0</v>
      </c>
      <c r="L39" s="137">
        <f t="shared" ref="L39" si="2">SUM(L26:L38)</f>
        <v>0</v>
      </c>
      <c r="M39" s="137">
        <f>SUM(M26:M38)</f>
        <v>493.17055141317644</v>
      </c>
      <c r="N39" s="137">
        <f t="shared" si="1"/>
        <v>281.34486475945397</v>
      </c>
      <c r="O39" s="137">
        <f>SUM(O26:O38)</f>
        <v>24906.462847688221</v>
      </c>
      <c r="P39" s="137">
        <f t="shared" si="1"/>
        <v>1318.9957095440204</v>
      </c>
      <c r="Q39" s="137">
        <f t="shared" si="1"/>
        <v>9418.5062696972291</v>
      </c>
      <c r="R39" s="137">
        <f>SUM(R26:R38)</f>
        <v>0</v>
      </c>
      <c r="S39" s="137">
        <f t="shared" si="1"/>
        <v>7379.1309363940636</v>
      </c>
      <c r="T39" s="138">
        <f t="shared" si="1"/>
        <v>9020.0509504928359</v>
      </c>
    </row>
    <row r="40" spans="3:22" ht="15.5" x14ac:dyDescent="0.35">
      <c r="C40" s="93" t="s">
        <v>53</v>
      </c>
      <c r="D40" s="31"/>
      <c r="E40" s="32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92"/>
    </row>
    <row r="41" spans="3:22" x14ac:dyDescent="0.25">
      <c r="C41" s="58" t="s">
        <v>28</v>
      </c>
      <c r="D41" s="25" t="s">
        <v>29</v>
      </c>
      <c r="E41" s="26"/>
      <c r="F41" s="114">
        <f t="shared" ref="F41:F54" si="3">SUM(G41:T41)</f>
        <v>1358.0606354882225</v>
      </c>
      <c r="G41" s="113">
        <v>0</v>
      </c>
      <c r="H41" s="113">
        <v>0</v>
      </c>
      <c r="I41" s="113">
        <v>0</v>
      </c>
      <c r="J41" s="113">
        <v>0</v>
      </c>
      <c r="K41" s="113">
        <v>0</v>
      </c>
      <c r="L41" s="113">
        <v>0</v>
      </c>
      <c r="M41" s="113">
        <v>0</v>
      </c>
      <c r="N41" s="113">
        <v>0</v>
      </c>
      <c r="O41" s="113">
        <v>1159.3588488645357</v>
      </c>
      <c r="P41" s="113">
        <v>0</v>
      </c>
      <c r="Q41" s="113">
        <v>39.90763470962888</v>
      </c>
      <c r="R41" s="113">
        <v>0</v>
      </c>
      <c r="S41" s="113">
        <v>0</v>
      </c>
      <c r="T41" s="123">
        <v>158.79415191405803</v>
      </c>
    </row>
    <row r="42" spans="3:22" x14ac:dyDescent="0.25">
      <c r="C42" s="58" t="s">
        <v>30</v>
      </c>
      <c r="D42" s="25" t="s">
        <v>29</v>
      </c>
      <c r="E42" s="26"/>
      <c r="F42" s="114">
        <f t="shared" si="3"/>
        <v>8145.1729374453253</v>
      </c>
      <c r="G42" s="113">
        <v>0</v>
      </c>
      <c r="H42" s="113">
        <v>746.54691546207334</v>
      </c>
      <c r="I42" s="113">
        <v>0</v>
      </c>
      <c r="J42" s="113">
        <v>0</v>
      </c>
      <c r="K42" s="113">
        <v>0</v>
      </c>
      <c r="L42" s="113">
        <v>0</v>
      </c>
      <c r="M42" s="113">
        <v>0</v>
      </c>
      <c r="N42" s="113">
        <v>0</v>
      </c>
      <c r="O42" s="113">
        <v>4635.341013483654</v>
      </c>
      <c r="P42" s="113">
        <v>0</v>
      </c>
      <c r="Q42" s="113">
        <v>629.01101878774068</v>
      </c>
      <c r="R42" s="113">
        <v>0</v>
      </c>
      <c r="S42" s="113">
        <v>274.82381078301955</v>
      </c>
      <c r="T42" s="123">
        <v>1859.4501789288381</v>
      </c>
    </row>
    <row r="43" spans="3:22" x14ac:dyDescent="0.25">
      <c r="C43" s="58" t="s">
        <v>31</v>
      </c>
      <c r="D43" s="25" t="s">
        <v>29</v>
      </c>
      <c r="E43" s="26"/>
      <c r="F43" s="114">
        <f t="shared" si="3"/>
        <v>10989.050159390034</v>
      </c>
      <c r="G43" s="113">
        <v>0</v>
      </c>
      <c r="H43" s="113">
        <v>914.36810083384853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1318.804288921174</v>
      </c>
      <c r="P43" s="113">
        <v>0</v>
      </c>
      <c r="Q43" s="113">
        <v>115.36012955876367</v>
      </c>
      <c r="R43" s="113">
        <v>0</v>
      </c>
      <c r="S43" s="113">
        <v>6402.565134684095</v>
      </c>
      <c r="T43" s="123">
        <v>2237.952505392152</v>
      </c>
    </row>
    <row r="44" spans="3:22" x14ac:dyDescent="0.25">
      <c r="C44" s="58" t="s">
        <v>32</v>
      </c>
      <c r="D44" s="25" t="s">
        <v>29</v>
      </c>
      <c r="E44" s="26"/>
      <c r="F44" s="114">
        <f t="shared" si="3"/>
        <v>962.25419361540162</v>
      </c>
      <c r="G44" s="113">
        <v>0</v>
      </c>
      <c r="H44" s="113">
        <v>129.72892537498234</v>
      </c>
      <c r="I44" s="113">
        <v>0</v>
      </c>
      <c r="J44" s="113">
        <v>0</v>
      </c>
      <c r="K44" s="113">
        <v>0</v>
      </c>
      <c r="L44" s="113">
        <v>0</v>
      </c>
      <c r="M44" s="113">
        <v>0</v>
      </c>
      <c r="N44" s="113">
        <v>0</v>
      </c>
      <c r="O44" s="113">
        <v>52.020669135264228</v>
      </c>
      <c r="P44" s="113">
        <v>0</v>
      </c>
      <c r="Q44" s="113">
        <v>44.157468786964856</v>
      </c>
      <c r="R44" s="113">
        <v>0</v>
      </c>
      <c r="S44" s="113">
        <v>0</v>
      </c>
      <c r="T44" s="123">
        <v>736.34713031819024</v>
      </c>
    </row>
    <row r="45" spans="3:22" x14ac:dyDescent="0.25">
      <c r="C45" s="58" t="s">
        <v>33</v>
      </c>
      <c r="D45" s="25" t="s">
        <v>29</v>
      </c>
      <c r="E45" s="26"/>
      <c r="F45" s="114">
        <f t="shared" si="3"/>
        <v>21161.311261484647</v>
      </c>
      <c r="G45" s="113">
        <v>0</v>
      </c>
      <c r="H45" s="113">
        <v>123.07025279014573</v>
      </c>
      <c r="I45" s="113">
        <v>0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13041.909147781591</v>
      </c>
      <c r="P45" s="113">
        <v>0</v>
      </c>
      <c r="Q45" s="113">
        <v>127.99801336353117</v>
      </c>
      <c r="R45" s="113">
        <v>0</v>
      </c>
      <c r="S45" s="113">
        <v>6184.532986207555</v>
      </c>
      <c r="T45" s="123">
        <v>1683.8008613418233</v>
      </c>
    </row>
    <row r="46" spans="3:22" x14ac:dyDescent="0.25">
      <c r="C46" s="58" t="s">
        <v>34</v>
      </c>
      <c r="D46" s="25" t="s">
        <v>29</v>
      </c>
      <c r="E46" s="26"/>
      <c r="F46" s="114">
        <f t="shared" si="3"/>
        <v>11677.724194242825</v>
      </c>
      <c r="G46" s="113">
        <v>0</v>
      </c>
      <c r="H46" s="113">
        <v>4522.7292665919813</v>
      </c>
      <c r="I46" s="113">
        <v>0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2761.4724043202095</v>
      </c>
      <c r="P46" s="113">
        <v>0</v>
      </c>
      <c r="Q46" s="113">
        <v>94.001495502530176</v>
      </c>
      <c r="R46" s="113">
        <v>0</v>
      </c>
      <c r="S46" s="113">
        <v>3005.7809586085036</v>
      </c>
      <c r="T46" s="123">
        <v>1293.7400692196006</v>
      </c>
    </row>
    <row r="47" spans="3:22" x14ac:dyDescent="0.25">
      <c r="C47" s="58" t="s">
        <v>35</v>
      </c>
      <c r="D47" s="25" t="s">
        <v>29</v>
      </c>
      <c r="E47" s="26"/>
      <c r="F47" s="114">
        <f t="shared" si="3"/>
        <v>12190.528137081128</v>
      </c>
      <c r="G47" s="113">
        <v>0</v>
      </c>
      <c r="H47" s="113">
        <v>0</v>
      </c>
      <c r="I47" s="113">
        <v>0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2229.4101578788609</v>
      </c>
      <c r="P47" s="113">
        <v>0</v>
      </c>
      <c r="Q47" s="113">
        <v>8839.8230808762492</v>
      </c>
      <c r="R47" s="113">
        <v>0</v>
      </c>
      <c r="S47" s="113">
        <v>0</v>
      </c>
      <c r="T47" s="123">
        <v>1121.2948983260176</v>
      </c>
    </row>
    <row r="48" spans="3:22" x14ac:dyDescent="0.25">
      <c r="C48" s="58" t="s">
        <v>36</v>
      </c>
      <c r="D48" s="25" t="s">
        <v>29</v>
      </c>
      <c r="E48" s="26"/>
      <c r="F48" s="114">
        <f t="shared" si="3"/>
        <v>8180.0014717829599</v>
      </c>
      <c r="G48" s="113">
        <v>0</v>
      </c>
      <c r="H48" s="113">
        <v>267.47646593809958</v>
      </c>
      <c r="I48" s="113">
        <v>0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5525.9793112299712</v>
      </c>
      <c r="P48" s="113">
        <v>0</v>
      </c>
      <c r="Q48" s="113">
        <v>145.03080663198938</v>
      </c>
      <c r="R48" s="113">
        <v>0</v>
      </c>
      <c r="S48" s="113">
        <v>532.41173582570389</v>
      </c>
      <c r="T48" s="123">
        <v>1709.1031521571954</v>
      </c>
    </row>
    <row r="49" spans="3:20" x14ac:dyDescent="0.25">
      <c r="C49" s="58" t="s">
        <v>37</v>
      </c>
      <c r="D49" s="25" t="s">
        <v>29</v>
      </c>
      <c r="E49" s="26"/>
      <c r="F49" s="114">
        <f t="shared" si="3"/>
        <v>1226.3152944577307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0</v>
      </c>
      <c r="N49" s="113">
        <v>0</v>
      </c>
      <c r="O49" s="113">
        <v>712.89800109859027</v>
      </c>
      <c r="P49" s="113">
        <v>0</v>
      </c>
      <c r="Q49" s="113">
        <v>0</v>
      </c>
      <c r="R49" s="113">
        <v>0</v>
      </c>
      <c r="S49" s="113">
        <v>0</v>
      </c>
      <c r="T49" s="123">
        <v>513.41729335914044</v>
      </c>
    </row>
    <row r="50" spans="3:20" x14ac:dyDescent="0.25">
      <c r="C50" s="58" t="s">
        <v>38</v>
      </c>
      <c r="D50" s="25" t="s">
        <v>29</v>
      </c>
      <c r="E50" s="26"/>
      <c r="F50" s="114">
        <f t="shared" si="3"/>
        <v>473.91982073524593</v>
      </c>
      <c r="G50" s="113">
        <v>0</v>
      </c>
      <c r="H50" s="113">
        <v>70.468821952919228</v>
      </c>
      <c r="I50" s="113">
        <v>0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167.2096744930125</v>
      </c>
      <c r="P50" s="113">
        <v>0</v>
      </c>
      <c r="Q50" s="113">
        <v>38.47481730218508</v>
      </c>
      <c r="R50" s="113">
        <v>0</v>
      </c>
      <c r="S50" s="113">
        <v>3.2397810691513698</v>
      </c>
      <c r="T50" s="123">
        <v>194.52672591797776</v>
      </c>
    </row>
    <row r="51" spans="3:20" x14ac:dyDescent="0.25">
      <c r="C51" s="58" t="s">
        <v>39</v>
      </c>
      <c r="D51" s="25" t="s">
        <v>29</v>
      </c>
      <c r="E51" s="26"/>
      <c r="F51" s="114">
        <f t="shared" si="3"/>
        <v>4620.8685031956866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3746.1625777281029</v>
      </c>
      <c r="P51" s="113">
        <v>0</v>
      </c>
      <c r="Q51" s="113">
        <v>133.19277776248342</v>
      </c>
      <c r="R51" s="113">
        <v>0</v>
      </c>
      <c r="S51" s="113">
        <v>2.4842297697402955</v>
      </c>
      <c r="T51" s="123">
        <v>739.02891793536082</v>
      </c>
    </row>
    <row r="52" spans="3:20" x14ac:dyDescent="0.25">
      <c r="C52" s="58" t="s">
        <v>40</v>
      </c>
      <c r="D52" s="25" t="s">
        <v>29</v>
      </c>
      <c r="E52" s="26"/>
      <c r="F52" s="114">
        <f t="shared" si="3"/>
        <v>519.10959456945193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113">
        <v>227.29901092023647</v>
      </c>
      <c r="P52" s="113">
        <v>0</v>
      </c>
      <c r="Q52" s="113">
        <v>47.956943705536844</v>
      </c>
      <c r="R52" s="113">
        <v>0</v>
      </c>
      <c r="S52" s="113">
        <v>0</v>
      </c>
      <c r="T52" s="123">
        <v>243.85363994367856</v>
      </c>
    </row>
    <row r="53" spans="3:20" x14ac:dyDescent="0.25">
      <c r="C53" s="58" t="s">
        <v>41</v>
      </c>
      <c r="D53" s="25" t="s">
        <v>29</v>
      </c>
      <c r="E53" s="26"/>
      <c r="F53" s="114">
        <f t="shared" si="3"/>
        <v>3509.1534711381146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1301.0723922671193</v>
      </c>
      <c r="P53" s="113">
        <v>0</v>
      </c>
      <c r="Q53" s="113">
        <v>629.91418007150185</v>
      </c>
      <c r="R53" s="113">
        <v>0</v>
      </c>
      <c r="S53" s="113">
        <v>0</v>
      </c>
      <c r="T53" s="123">
        <v>1578.1668987994938</v>
      </c>
    </row>
    <row r="54" spans="3:20" x14ac:dyDescent="0.25">
      <c r="C54" s="24" t="s">
        <v>50</v>
      </c>
      <c r="D54" s="25" t="s">
        <v>29</v>
      </c>
      <c r="E54" s="26"/>
      <c r="F54" s="121">
        <f t="shared" si="3"/>
        <v>85013.469674626758</v>
      </c>
      <c r="G54" s="121">
        <f>SUM(G41:G53)</f>
        <v>0</v>
      </c>
      <c r="H54" s="121">
        <f>SUM(H41:H53)</f>
        <v>6774.3887489440503</v>
      </c>
      <c r="I54" s="121">
        <f t="shared" ref="I54:T54" si="4">SUM(I41:I53)</f>
        <v>0</v>
      </c>
      <c r="J54" s="121">
        <f t="shared" si="4"/>
        <v>0</v>
      </c>
      <c r="K54" s="121">
        <f t="shared" si="4"/>
        <v>0</v>
      </c>
      <c r="L54" s="121">
        <f t="shared" ref="L54" si="5">SUM(L41:L53)</f>
        <v>0</v>
      </c>
      <c r="M54" s="121">
        <f>SUM(M41:M53)</f>
        <v>0</v>
      </c>
      <c r="N54" s="121">
        <f t="shared" si="4"/>
        <v>0</v>
      </c>
      <c r="O54" s="121">
        <f>SUM(O41:O53)</f>
        <v>36878.937498122315</v>
      </c>
      <c r="P54" s="121">
        <f t="shared" si="4"/>
        <v>0</v>
      </c>
      <c r="Q54" s="121">
        <f t="shared" si="4"/>
        <v>10884.828367059104</v>
      </c>
      <c r="R54" s="121">
        <f>SUM(R41:R53)</f>
        <v>0</v>
      </c>
      <c r="S54" s="121">
        <f t="shared" si="4"/>
        <v>16405.838636947767</v>
      </c>
      <c r="T54" s="122">
        <f t="shared" si="4"/>
        <v>14069.476423553526</v>
      </c>
    </row>
    <row r="55" spans="3:20" ht="15.5" x14ac:dyDescent="0.35">
      <c r="C55" s="94" t="s">
        <v>54</v>
      </c>
      <c r="D55" s="84"/>
      <c r="E55" s="34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95"/>
    </row>
    <row r="56" spans="3:20" x14ac:dyDescent="0.25">
      <c r="C56" s="58" t="s">
        <v>28</v>
      </c>
      <c r="D56" s="25" t="s">
        <v>29</v>
      </c>
      <c r="E56" s="26"/>
      <c r="F56" s="114">
        <f t="shared" ref="F56:F69" si="6">SUM(G56:T56)</f>
        <v>1266.4535651607257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1083.5071277623194</v>
      </c>
      <c r="P56" s="113">
        <v>13.035028289325638</v>
      </c>
      <c r="Q56" s="113">
        <v>73.326897932575932</v>
      </c>
      <c r="R56" s="113">
        <v>0</v>
      </c>
      <c r="S56" s="113">
        <v>0</v>
      </c>
      <c r="T56" s="123">
        <v>96.584511176504549</v>
      </c>
    </row>
    <row r="57" spans="3:20" x14ac:dyDescent="0.25">
      <c r="C57" s="58" t="s">
        <v>30</v>
      </c>
      <c r="D57" s="25" t="s">
        <v>29</v>
      </c>
      <c r="E57" s="26"/>
      <c r="F57" s="114">
        <f t="shared" si="6"/>
        <v>11383.486411727165</v>
      </c>
      <c r="G57" s="113">
        <v>0</v>
      </c>
      <c r="H57" s="113">
        <v>1745.9057593917735</v>
      </c>
      <c r="I57" s="113">
        <v>0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6406.082501150503</v>
      </c>
      <c r="P57" s="113">
        <v>226.84329124396339</v>
      </c>
      <c r="Q57" s="113">
        <v>1513.7008138728208</v>
      </c>
      <c r="R57" s="113">
        <v>0</v>
      </c>
      <c r="S57" s="113">
        <v>48.548652375720586</v>
      </c>
      <c r="T57" s="123">
        <v>1442.4053936923829</v>
      </c>
    </row>
    <row r="58" spans="3:20" x14ac:dyDescent="0.25">
      <c r="C58" s="58" t="s">
        <v>31</v>
      </c>
      <c r="D58" s="25" t="s">
        <v>29</v>
      </c>
      <c r="E58" s="26"/>
      <c r="F58" s="114">
        <f t="shared" si="6"/>
        <v>14503.060868251596</v>
      </c>
      <c r="G58" s="113">
        <v>0</v>
      </c>
      <c r="H58" s="113">
        <v>52.502250407651879</v>
      </c>
      <c r="I58" s="113">
        <v>0</v>
      </c>
      <c r="J58" s="113">
        <v>0</v>
      </c>
      <c r="K58" s="113">
        <v>0</v>
      </c>
      <c r="L58" s="113">
        <v>0</v>
      </c>
      <c r="M58" s="113">
        <v>0</v>
      </c>
      <c r="N58" s="113">
        <v>0</v>
      </c>
      <c r="O58" s="113">
        <v>2969.1756831468924</v>
      </c>
      <c r="P58" s="113">
        <v>136.83990119114873</v>
      </c>
      <c r="Q58" s="113">
        <v>314.12111230252128</v>
      </c>
      <c r="R58" s="113">
        <v>0</v>
      </c>
      <c r="S58" s="113">
        <v>9602.248157641714</v>
      </c>
      <c r="T58" s="123">
        <v>1428.1737635616655</v>
      </c>
    </row>
    <row r="59" spans="3:20" x14ac:dyDescent="0.25">
      <c r="C59" s="58" t="s">
        <v>32</v>
      </c>
      <c r="D59" s="25" t="s">
        <v>29</v>
      </c>
      <c r="E59" s="26"/>
      <c r="F59" s="114">
        <f t="shared" si="6"/>
        <v>690.53451799052755</v>
      </c>
      <c r="G59" s="113">
        <v>0</v>
      </c>
      <c r="H59" s="113">
        <v>0</v>
      </c>
      <c r="I59" s="113">
        <v>0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179.59923159638944</v>
      </c>
      <c r="P59" s="113">
        <v>5.1666607347869355</v>
      </c>
      <c r="Q59" s="113">
        <v>77.561788889186261</v>
      </c>
      <c r="R59" s="113">
        <v>0</v>
      </c>
      <c r="S59" s="113">
        <v>0</v>
      </c>
      <c r="T59" s="123">
        <v>428.2068367701649</v>
      </c>
    </row>
    <row r="60" spans="3:20" x14ac:dyDescent="0.25">
      <c r="C60" s="58" t="s">
        <v>33</v>
      </c>
      <c r="D60" s="25" t="s">
        <v>29</v>
      </c>
      <c r="E60" s="26"/>
      <c r="F60" s="114">
        <f t="shared" si="6"/>
        <v>20793.062868085715</v>
      </c>
      <c r="G60" s="113">
        <v>0</v>
      </c>
      <c r="H60" s="113">
        <v>270.14804702438397</v>
      </c>
      <c r="I60" s="113">
        <v>0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12848.776079523954</v>
      </c>
      <c r="P60" s="113">
        <v>366.13873973670007</v>
      </c>
      <c r="Q60" s="113">
        <v>128.52250124337019</v>
      </c>
      <c r="R60" s="113">
        <v>0</v>
      </c>
      <c r="S60" s="113">
        <v>6013.1625832726813</v>
      </c>
      <c r="T60" s="123">
        <v>1166.3149172846267</v>
      </c>
    </row>
    <row r="61" spans="3:20" x14ac:dyDescent="0.25">
      <c r="C61" s="58" t="s">
        <v>34</v>
      </c>
      <c r="D61" s="25" t="s">
        <v>29</v>
      </c>
      <c r="E61" s="26"/>
      <c r="F61" s="114">
        <f t="shared" si="6"/>
        <v>11308.410443079048</v>
      </c>
      <c r="G61" s="113">
        <v>0</v>
      </c>
      <c r="H61" s="113">
        <v>3206.5742635643669</v>
      </c>
      <c r="I61" s="113">
        <v>0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893.38851980458378</v>
      </c>
      <c r="P61" s="113">
        <v>293.09433651326714</v>
      </c>
      <c r="Q61" s="113">
        <v>157.90159361722692</v>
      </c>
      <c r="R61" s="113">
        <v>0</v>
      </c>
      <c r="S61" s="113">
        <v>5927.1462972863028</v>
      </c>
      <c r="T61" s="123">
        <v>830.30543229330021</v>
      </c>
    </row>
    <row r="62" spans="3:20" x14ac:dyDescent="0.25">
      <c r="C62" s="58" t="s">
        <v>35</v>
      </c>
      <c r="D62" s="25" t="s">
        <v>29</v>
      </c>
      <c r="E62" s="26"/>
      <c r="F62" s="114">
        <f t="shared" si="6"/>
        <v>2899.8295854538023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1867.5788088419906</v>
      </c>
      <c r="P62" s="113">
        <v>40.249073780389203</v>
      </c>
      <c r="Q62" s="113">
        <v>90.153159011474898</v>
      </c>
      <c r="R62" s="113">
        <v>0</v>
      </c>
      <c r="S62" s="113">
        <v>0</v>
      </c>
      <c r="T62" s="123">
        <v>901.84854381994774</v>
      </c>
    </row>
    <row r="63" spans="3:20" x14ac:dyDescent="0.25">
      <c r="C63" s="58" t="s">
        <v>36</v>
      </c>
      <c r="D63" s="25" t="s">
        <v>29</v>
      </c>
      <c r="E63" s="26"/>
      <c r="F63" s="114">
        <f t="shared" si="6"/>
        <v>6967.3844161383849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  <c r="L63" s="113">
        <v>0</v>
      </c>
      <c r="M63" s="113">
        <v>0</v>
      </c>
      <c r="N63" s="113">
        <v>0</v>
      </c>
      <c r="O63" s="113">
        <v>4583.039492211582</v>
      </c>
      <c r="P63" s="113">
        <v>239.99078850280449</v>
      </c>
      <c r="Q63" s="113">
        <v>487.33855644059793</v>
      </c>
      <c r="R63" s="113">
        <v>0</v>
      </c>
      <c r="S63" s="113">
        <v>708.82759564166747</v>
      </c>
      <c r="T63" s="123">
        <v>948.18798334173323</v>
      </c>
    </row>
    <row r="64" spans="3:20" x14ac:dyDescent="0.25">
      <c r="C64" s="58" t="s">
        <v>37</v>
      </c>
      <c r="D64" s="25" t="s">
        <v>29</v>
      </c>
      <c r="E64" s="26"/>
      <c r="F64" s="114">
        <f t="shared" si="6"/>
        <v>2811.5685273407216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2248.4571058782881</v>
      </c>
      <c r="P64" s="113">
        <v>21.376129752816187</v>
      </c>
      <c r="Q64" s="113">
        <v>0</v>
      </c>
      <c r="R64" s="113">
        <v>0</v>
      </c>
      <c r="S64" s="113">
        <v>0</v>
      </c>
      <c r="T64" s="123">
        <v>541.73529170961717</v>
      </c>
    </row>
    <row r="65" spans="3:20" x14ac:dyDescent="0.25">
      <c r="C65" s="58" t="s">
        <v>38</v>
      </c>
      <c r="D65" s="25" t="s">
        <v>29</v>
      </c>
      <c r="E65" s="26"/>
      <c r="F65" s="114">
        <f t="shared" si="6"/>
        <v>527.61799807707257</v>
      </c>
      <c r="G65" s="113">
        <v>0</v>
      </c>
      <c r="H65" s="113">
        <v>70.463730263368504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302.77691036283267</v>
      </c>
      <c r="P65" s="113">
        <v>5.7155922483774413</v>
      </c>
      <c r="Q65" s="113">
        <v>38.630766976467392</v>
      </c>
      <c r="R65" s="113">
        <v>0</v>
      </c>
      <c r="S65" s="113">
        <v>3.2708596841957136</v>
      </c>
      <c r="T65" s="123">
        <v>106.76013854183088</v>
      </c>
    </row>
    <row r="66" spans="3:20" x14ac:dyDescent="0.25">
      <c r="C66" s="58" t="s">
        <v>39</v>
      </c>
      <c r="D66" s="25" t="s">
        <v>29</v>
      </c>
      <c r="E66" s="26"/>
      <c r="F66" s="114">
        <f t="shared" si="6"/>
        <v>2450.1632884157402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1713.9243338675944</v>
      </c>
      <c r="P66" s="113">
        <v>49.211695073688325</v>
      </c>
      <c r="Q66" s="113">
        <v>149.46987134812855</v>
      </c>
      <c r="R66" s="113">
        <v>0</v>
      </c>
      <c r="S66" s="113">
        <v>2.5080605222039742</v>
      </c>
      <c r="T66" s="123">
        <v>535.0493276041251</v>
      </c>
    </row>
    <row r="67" spans="3:20" x14ac:dyDescent="0.25">
      <c r="C67" s="58" t="s">
        <v>40</v>
      </c>
      <c r="D67" s="25" t="s">
        <v>29</v>
      </c>
      <c r="E67" s="26"/>
      <c r="F67" s="114">
        <f t="shared" si="6"/>
        <v>676.92875608678833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13">
        <v>0</v>
      </c>
      <c r="N67" s="113">
        <v>0</v>
      </c>
      <c r="O67" s="113">
        <v>425.49422140881376</v>
      </c>
      <c r="P67" s="113">
        <v>3.5429129369524324</v>
      </c>
      <c r="Q67" s="113">
        <v>48.153792518866965</v>
      </c>
      <c r="R67" s="113">
        <v>0</v>
      </c>
      <c r="S67" s="113">
        <v>0</v>
      </c>
      <c r="T67" s="123">
        <v>199.73782922215526</v>
      </c>
    </row>
    <row r="68" spans="3:20" x14ac:dyDescent="0.25">
      <c r="C68" s="58" t="s">
        <v>41</v>
      </c>
      <c r="D68" s="25" t="s">
        <v>29</v>
      </c>
      <c r="E68" s="26"/>
      <c r="F68" s="114">
        <f t="shared" si="6"/>
        <v>4620.0452380985189</v>
      </c>
      <c r="G68" s="113">
        <v>0</v>
      </c>
      <c r="H68" s="113">
        <v>425.36287010734969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  <c r="O68" s="113">
        <v>2326.2721664920978</v>
      </c>
      <c r="P68" s="113">
        <v>45.898805524385814</v>
      </c>
      <c r="Q68" s="113">
        <v>632.49930164792693</v>
      </c>
      <c r="R68" s="113">
        <v>0</v>
      </c>
      <c r="S68" s="113">
        <v>0</v>
      </c>
      <c r="T68" s="123">
        <v>1190.012094326758</v>
      </c>
    </row>
    <row r="69" spans="3:20" x14ac:dyDescent="0.25">
      <c r="C69" s="24" t="s">
        <v>50</v>
      </c>
      <c r="D69" s="25" t="s">
        <v>29</v>
      </c>
      <c r="E69" s="26"/>
      <c r="F69" s="121">
        <f t="shared" si="6"/>
        <v>80898.546483905797</v>
      </c>
      <c r="G69" s="121">
        <f t="shared" ref="G69" si="7">SUM(G56:G68)</f>
        <v>0</v>
      </c>
      <c r="H69" s="121">
        <f>SUM(H56:H68)</f>
        <v>5770.9569207588938</v>
      </c>
      <c r="I69" s="121">
        <f t="shared" ref="I69" si="8">SUM(I56:I68)</f>
        <v>0</v>
      </c>
      <c r="J69" s="121">
        <f t="shared" ref="J69" si="9">SUM(J56:J68)</f>
        <v>0</v>
      </c>
      <c r="K69" s="121">
        <f t="shared" ref="K69:L69" si="10">SUM(K56:K68)</f>
        <v>0</v>
      </c>
      <c r="L69" s="121">
        <f t="shared" si="10"/>
        <v>0</v>
      </c>
      <c r="M69" s="121">
        <f t="shared" ref="M69" si="11">SUM(M56:M68)</f>
        <v>0</v>
      </c>
      <c r="N69" s="121">
        <f t="shared" ref="N69" si="12">SUM(N56:N68)</f>
        <v>0</v>
      </c>
      <c r="O69" s="121">
        <f t="shared" ref="O69" si="13">SUM(O56:O68)</f>
        <v>37848.072182047836</v>
      </c>
      <c r="P69" s="121">
        <f t="shared" ref="P69" si="14">SUM(P56:P68)</f>
        <v>1447.1029555286057</v>
      </c>
      <c r="Q69" s="121">
        <f t="shared" ref="Q69" si="15">SUM(Q56:Q68)</f>
        <v>3711.3801558011642</v>
      </c>
      <c r="R69" s="121">
        <f t="shared" ref="R69" si="16">SUM(R56:R68)</f>
        <v>0</v>
      </c>
      <c r="S69" s="121">
        <f t="shared" ref="S69" si="17">SUM(S56:S68)</f>
        <v>22305.712206424487</v>
      </c>
      <c r="T69" s="122">
        <f t="shared" ref="T69" si="18">SUM(T56:T68)</f>
        <v>9815.3220633448109</v>
      </c>
    </row>
    <row r="70" spans="3:20" ht="15.5" x14ac:dyDescent="0.35">
      <c r="C70" s="94" t="s">
        <v>55</v>
      </c>
      <c r="D70" s="84"/>
      <c r="E70" s="34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95"/>
    </row>
    <row r="71" spans="3:20" x14ac:dyDescent="0.25">
      <c r="C71" s="58" t="s">
        <v>28</v>
      </c>
      <c r="D71" s="25" t="s">
        <v>29</v>
      </c>
      <c r="E71" s="26"/>
      <c r="F71" s="114">
        <f t="shared" ref="F71:F84" si="19">SUM(G71:T71)</f>
        <v>517.83259317934471</v>
      </c>
      <c r="G71" s="113">
        <v>0</v>
      </c>
      <c r="H71" s="113">
        <v>0</v>
      </c>
      <c r="I71" s="113">
        <v>0</v>
      </c>
      <c r="J71" s="113">
        <v>0</v>
      </c>
      <c r="K71" s="113">
        <v>0</v>
      </c>
      <c r="L71" s="113">
        <v>0</v>
      </c>
      <c r="M71" s="113">
        <v>0</v>
      </c>
      <c r="N71" s="113">
        <v>0</v>
      </c>
      <c r="O71" s="113">
        <v>375.13480843905495</v>
      </c>
      <c r="P71" s="113">
        <v>13.035019391750078</v>
      </c>
      <c r="Q71" s="113">
        <v>72.776540204724611</v>
      </c>
      <c r="R71" s="113">
        <v>0</v>
      </c>
      <c r="S71" s="113">
        <v>0</v>
      </c>
      <c r="T71" s="123">
        <v>56.886225143815068</v>
      </c>
    </row>
    <row r="72" spans="3:20" x14ac:dyDescent="0.25">
      <c r="C72" s="58" t="s">
        <v>30</v>
      </c>
      <c r="D72" s="25" t="s">
        <v>29</v>
      </c>
      <c r="E72" s="26"/>
      <c r="F72" s="114">
        <f t="shared" si="19"/>
        <v>7817.9510564017091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  <c r="L72" s="113">
        <v>0</v>
      </c>
      <c r="M72" s="113">
        <v>0</v>
      </c>
      <c r="N72" s="113">
        <v>0</v>
      </c>
      <c r="O72" s="113">
        <v>1903.8646152259628</v>
      </c>
      <c r="P72" s="113">
        <v>226.84313640307778</v>
      </c>
      <c r="Q72" s="113">
        <v>677.10879988685156</v>
      </c>
      <c r="R72" s="113">
        <v>0</v>
      </c>
      <c r="S72" s="113">
        <v>4259.3082819670044</v>
      </c>
      <c r="T72" s="123">
        <v>750.82622291881307</v>
      </c>
    </row>
    <row r="73" spans="3:20" x14ac:dyDescent="0.25">
      <c r="C73" s="58" t="s">
        <v>31</v>
      </c>
      <c r="D73" s="25" t="s">
        <v>29</v>
      </c>
      <c r="E73" s="26"/>
      <c r="F73" s="114">
        <f t="shared" si="19"/>
        <v>4553.7593448062498</v>
      </c>
      <c r="G73" s="113">
        <v>0</v>
      </c>
      <c r="H73" s="113">
        <v>52.977931640958531</v>
      </c>
      <c r="I73" s="113">
        <v>0</v>
      </c>
      <c r="J73" s="113">
        <v>0</v>
      </c>
      <c r="K73" s="113">
        <v>0</v>
      </c>
      <c r="L73" s="113">
        <v>0</v>
      </c>
      <c r="M73" s="113">
        <v>0</v>
      </c>
      <c r="N73" s="113">
        <v>0</v>
      </c>
      <c r="O73" s="113">
        <v>2994.4547612374545</v>
      </c>
      <c r="P73" s="113">
        <v>136.83980778564674</v>
      </c>
      <c r="Q73" s="113">
        <v>311.75926212415436</v>
      </c>
      <c r="R73" s="113">
        <v>0</v>
      </c>
      <c r="S73" s="113">
        <v>124.66115292820137</v>
      </c>
      <c r="T73" s="123">
        <v>933.06642908983451</v>
      </c>
    </row>
    <row r="74" spans="3:20" x14ac:dyDescent="0.25">
      <c r="C74" s="58" t="s">
        <v>32</v>
      </c>
      <c r="D74" s="25" t="s">
        <v>29</v>
      </c>
      <c r="E74" s="26"/>
      <c r="F74" s="114">
        <f t="shared" si="19"/>
        <v>781.15179774406363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113">
        <v>391.70939214268947</v>
      </c>
      <c r="P74" s="113">
        <v>5.1666572080777291</v>
      </c>
      <c r="Q74" s="113">
        <v>76.978463134602634</v>
      </c>
      <c r="R74" s="113">
        <v>0</v>
      </c>
      <c r="S74" s="113">
        <v>0</v>
      </c>
      <c r="T74" s="123">
        <v>307.29728525869382</v>
      </c>
    </row>
    <row r="75" spans="3:20" x14ac:dyDescent="0.25">
      <c r="C75" s="58" t="s">
        <v>33</v>
      </c>
      <c r="D75" s="25" t="s">
        <v>29</v>
      </c>
      <c r="E75" s="26"/>
      <c r="F75" s="114">
        <f t="shared" si="19"/>
        <v>4640.7298021306742</v>
      </c>
      <c r="G75" s="113">
        <v>0</v>
      </c>
      <c r="H75" s="113">
        <v>260.54089494686394</v>
      </c>
      <c r="I75" s="113">
        <v>0</v>
      </c>
      <c r="J75" s="113">
        <v>0</v>
      </c>
      <c r="K75" s="113">
        <v>0</v>
      </c>
      <c r="L75" s="113">
        <v>0</v>
      </c>
      <c r="M75" s="113">
        <v>0</v>
      </c>
      <c r="N75" s="113">
        <v>0</v>
      </c>
      <c r="O75" s="113">
        <v>3173.7151001872971</v>
      </c>
      <c r="P75" s="113">
        <v>366.13848981418124</v>
      </c>
      <c r="Q75" s="113">
        <v>127.55596099723246</v>
      </c>
      <c r="R75" s="113">
        <v>0</v>
      </c>
      <c r="S75" s="113">
        <v>41.220414682609977</v>
      </c>
      <c r="T75" s="123">
        <v>671.55894150249003</v>
      </c>
    </row>
    <row r="76" spans="3:20" x14ac:dyDescent="0.25">
      <c r="C76" s="58" t="s">
        <v>34</v>
      </c>
      <c r="D76" s="25" t="s">
        <v>29</v>
      </c>
      <c r="E76" s="26"/>
      <c r="F76" s="114">
        <f t="shared" si="19"/>
        <v>8936.3510802444707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13">
        <v>0</v>
      </c>
      <c r="M76" s="113">
        <v>0</v>
      </c>
      <c r="N76" s="113">
        <v>0</v>
      </c>
      <c r="O76" s="113">
        <v>756.81781245247237</v>
      </c>
      <c r="P76" s="113">
        <v>293.09413645010289</v>
      </c>
      <c r="Q76" s="113">
        <v>156.71311031873267</v>
      </c>
      <c r="R76" s="113">
        <v>0</v>
      </c>
      <c r="S76" s="113">
        <v>7209.5828242091566</v>
      </c>
      <c r="T76" s="123">
        <v>520.14319681400514</v>
      </c>
    </row>
    <row r="77" spans="3:20" x14ac:dyDescent="0.25">
      <c r="C77" s="58" t="s">
        <v>35</v>
      </c>
      <c r="D77" s="25" t="s">
        <v>29</v>
      </c>
      <c r="E77" s="26"/>
      <c r="F77" s="114">
        <f t="shared" si="19"/>
        <v>3265.7406942891739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  <c r="L77" s="113">
        <v>0</v>
      </c>
      <c r="M77" s="113">
        <v>0</v>
      </c>
      <c r="N77" s="113">
        <v>0</v>
      </c>
      <c r="O77" s="113">
        <v>2701.3445166435176</v>
      </c>
      <c r="P77" s="113">
        <v>40.249046306787513</v>
      </c>
      <c r="Q77" s="113">
        <v>89.525933744224929</v>
      </c>
      <c r="R77" s="113">
        <v>0</v>
      </c>
      <c r="S77" s="113">
        <v>0</v>
      </c>
      <c r="T77" s="123">
        <v>434.62119759464406</v>
      </c>
    </row>
    <row r="78" spans="3:20" x14ac:dyDescent="0.25">
      <c r="C78" s="58" t="s">
        <v>36</v>
      </c>
      <c r="D78" s="25" t="s">
        <v>29</v>
      </c>
      <c r="E78" s="26"/>
      <c r="F78" s="114">
        <f t="shared" si="19"/>
        <v>15796.325378357718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  <c r="L78" s="113">
        <v>0</v>
      </c>
      <c r="M78" s="113">
        <v>0</v>
      </c>
      <c r="N78" s="113">
        <v>0</v>
      </c>
      <c r="O78" s="113">
        <v>13998.805224082502</v>
      </c>
      <c r="P78" s="113">
        <v>239.99062468757316</v>
      </c>
      <c r="Q78" s="113">
        <v>483.67361668687352</v>
      </c>
      <c r="R78" s="113">
        <v>0</v>
      </c>
      <c r="S78" s="113">
        <v>391.36621396797506</v>
      </c>
      <c r="T78" s="123">
        <v>682.48969893279559</v>
      </c>
    </row>
    <row r="79" spans="3:20" x14ac:dyDescent="0.25">
      <c r="C79" s="58" t="s">
        <v>37</v>
      </c>
      <c r="D79" s="25" t="s">
        <v>29</v>
      </c>
      <c r="E79" s="26"/>
      <c r="F79" s="114">
        <f t="shared" si="19"/>
        <v>1434.4069636996676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  <c r="N79" s="113">
        <v>0</v>
      </c>
      <c r="O79" s="113">
        <v>1216.2869133355669</v>
      </c>
      <c r="P79" s="113">
        <v>21.376115161690993</v>
      </c>
      <c r="Q79" s="113">
        <v>0</v>
      </c>
      <c r="R79" s="113">
        <v>0</v>
      </c>
      <c r="S79" s="113">
        <v>0</v>
      </c>
      <c r="T79" s="123">
        <v>196.74393520240986</v>
      </c>
    </row>
    <row r="80" spans="3:20" x14ac:dyDescent="0.25">
      <c r="C80" s="58" t="s">
        <v>38</v>
      </c>
      <c r="D80" s="25" t="s">
        <v>29</v>
      </c>
      <c r="E80" s="26"/>
      <c r="F80" s="114">
        <f t="shared" si="19"/>
        <v>345.16784395284822</v>
      </c>
      <c r="G80" s="113">
        <v>0</v>
      </c>
      <c r="H80" s="113">
        <v>70.473169456830391</v>
      </c>
      <c r="I80" s="113">
        <v>0</v>
      </c>
      <c r="J80" s="113">
        <v>0</v>
      </c>
      <c r="K80" s="113">
        <v>0</v>
      </c>
      <c r="L80" s="113">
        <v>0</v>
      </c>
      <c r="M80" s="113">
        <v>0</v>
      </c>
      <c r="N80" s="113">
        <v>0</v>
      </c>
      <c r="O80" s="113">
        <v>159.49714684836826</v>
      </c>
      <c r="P80" s="113">
        <v>5.7155883469732593</v>
      </c>
      <c r="Q80" s="113">
        <v>38.341226759679174</v>
      </c>
      <c r="R80" s="113">
        <v>0</v>
      </c>
      <c r="S80" s="113">
        <v>3.3019738146144184</v>
      </c>
      <c r="T80" s="123">
        <v>67.838738726382687</v>
      </c>
    </row>
    <row r="81" spans="1:20" x14ac:dyDescent="0.25">
      <c r="C81" s="58" t="s">
        <v>39</v>
      </c>
      <c r="D81" s="25" t="s">
        <v>29</v>
      </c>
      <c r="E81" s="26"/>
      <c r="F81" s="114">
        <f t="shared" si="19"/>
        <v>1951.2596919324164</v>
      </c>
      <c r="G81" s="113">
        <v>0</v>
      </c>
      <c r="H81" s="113">
        <v>0</v>
      </c>
      <c r="I81" s="113">
        <v>0</v>
      </c>
      <c r="J81" s="113">
        <v>0</v>
      </c>
      <c r="K81" s="113">
        <v>0</v>
      </c>
      <c r="L81" s="113">
        <v>0</v>
      </c>
      <c r="M81" s="113">
        <v>0</v>
      </c>
      <c r="N81" s="113">
        <v>0</v>
      </c>
      <c r="O81" s="113">
        <v>1472.7671027072611</v>
      </c>
      <c r="P81" s="113">
        <v>49.211661482293991</v>
      </c>
      <c r="Q81" s="113">
        <v>148.65072590901971</v>
      </c>
      <c r="R81" s="113">
        <v>0</v>
      </c>
      <c r="S81" s="113">
        <v>2.5319185074801132</v>
      </c>
      <c r="T81" s="123">
        <v>278.09828332636141</v>
      </c>
    </row>
    <row r="82" spans="1:20" x14ac:dyDescent="0.25">
      <c r="C82" s="58" t="s">
        <v>40</v>
      </c>
      <c r="D82" s="25" t="s">
        <v>29</v>
      </c>
      <c r="E82" s="26"/>
      <c r="F82" s="114">
        <f t="shared" si="19"/>
        <v>380.74955874904384</v>
      </c>
      <c r="G82" s="113">
        <v>0</v>
      </c>
      <c r="H82" s="113">
        <v>0</v>
      </c>
      <c r="I82" s="113">
        <v>0</v>
      </c>
      <c r="J82" s="113">
        <v>0</v>
      </c>
      <c r="K82" s="113">
        <v>0</v>
      </c>
      <c r="L82" s="113">
        <v>0</v>
      </c>
      <c r="M82" s="113">
        <v>0</v>
      </c>
      <c r="N82" s="113">
        <v>0</v>
      </c>
      <c r="O82" s="113">
        <v>245.17287279171225</v>
      </c>
      <c r="P82" s="113">
        <v>3.5429105185966869</v>
      </c>
      <c r="Q82" s="113">
        <v>47.791388765055579</v>
      </c>
      <c r="R82" s="113">
        <v>0</v>
      </c>
      <c r="S82" s="113">
        <v>0</v>
      </c>
      <c r="T82" s="123">
        <v>84.242386673679334</v>
      </c>
    </row>
    <row r="83" spans="1:20" x14ac:dyDescent="0.25">
      <c r="C83" s="58" t="s">
        <v>41</v>
      </c>
      <c r="D83" s="25" t="s">
        <v>29</v>
      </c>
      <c r="E83" s="26"/>
      <c r="F83" s="114">
        <f t="shared" si="19"/>
        <v>11668.255097417799</v>
      </c>
      <c r="G83" s="113">
        <v>0</v>
      </c>
      <c r="H83" s="113">
        <v>1553.3238131423886</v>
      </c>
      <c r="I83" s="113">
        <v>0</v>
      </c>
      <c r="J83" s="113">
        <v>0</v>
      </c>
      <c r="K83" s="113">
        <v>0</v>
      </c>
      <c r="L83" s="113">
        <v>0</v>
      </c>
      <c r="M83" s="113">
        <v>0</v>
      </c>
      <c r="N83" s="113">
        <v>0</v>
      </c>
      <c r="O83" s="113">
        <v>8803.6982523329734</v>
      </c>
      <c r="P83" s="113">
        <v>45.898774194335644</v>
      </c>
      <c r="Q83" s="113">
        <v>627.74239514866917</v>
      </c>
      <c r="R83" s="113">
        <v>0</v>
      </c>
      <c r="S83" s="113">
        <v>0</v>
      </c>
      <c r="T83" s="123">
        <v>637.59186259943203</v>
      </c>
    </row>
    <row r="84" spans="1:20" ht="12" thickBot="1" x14ac:dyDescent="0.3">
      <c r="C84" s="96" t="s">
        <v>50</v>
      </c>
      <c r="D84" s="97" t="s">
        <v>29</v>
      </c>
      <c r="E84" s="98"/>
      <c r="F84" s="124">
        <f t="shared" si="19"/>
        <v>62089.680902905173</v>
      </c>
      <c r="G84" s="124">
        <f t="shared" ref="G84" si="20">SUM(G71:G83)</f>
        <v>0</v>
      </c>
      <c r="H84" s="124">
        <f>SUM(H71:H83)</f>
        <v>1937.3158091870414</v>
      </c>
      <c r="I84" s="124">
        <f t="shared" ref="I84" si="21">SUM(I71:I83)</f>
        <v>0</v>
      </c>
      <c r="J84" s="124">
        <f t="shared" ref="J84" si="22">SUM(J71:J83)</f>
        <v>0</v>
      </c>
      <c r="K84" s="124">
        <f t="shared" ref="K84:L84" si="23">SUM(K71:K83)</f>
        <v>0</v>
      </c>
      <c r="L84" s="124">
        <f t="shared" si="23"/>
        <v>0</v>
      </c>
      <c r="M84" s="124">
        <f t="shared" ref="M84" si="24">SUM(M71:M83)</f>
        <v>0</v>
      </c>
      <c r="N84" s="124">
        <f t="shared" ref="N84" si="25">SUM(N71:N83)</f>
        <v>0</v>
      </c>
      <c r="O84" s="124">
        <f t="shared" ref="O84" si="26">SUM(O71:O83)</f>
        <v>38193.268518426827</v>
      </c>
      <c r="P84" s="124">
        <f t="shared" ref="P84" si="27">SUM(P71:P83)</f>
        <v>1447.1019677510876</v>
      </c>
      <c r="Q84" s="124">
        <f t="shared" ref="Q84" si="28">SUM(Q71:Q83)</f>
        <v>2858.6174236798206</v>
      </c>
      <c r="R84" s="124">
        <f t="shared" ref="R84" si="29">SUM(R71:R83)</f>
        <v>0</v>
      </c>
      <c r="S84" s="124">
        <f t="shared" ref="S84" si="30">SUM(S71:S83)</f>
        <v>12031.972780077042</v>
      </c>
      <c r="T84" s="125">
        <f t="shared" ref="T84" si="31">SUM(T71:T83)</f>
        <v>5621.4044037833564</v>
      </c>
    </row>
    <row r="88" spans="1:20" ht="12" thickBot="1" x14ac:dyDescent="0.3">
      <c r="A88" s="36" t="str">
        <f>C26</f>
        <v>Border</v>
      </c>
      <c r="C88" s="28" t="str">
        <f>"Table 2: "&amp;A88&amp;" capital expenditure ($'000, $2025-26)"</f>
        <v>Table 2: Border capital expenditure ($'000, $2025-26)</v>
      </c>
    </row>
    <row r="89" spans="1:20" ht="46" x14ac:dyDescent="0.25">
      <c r="A89" s="36"/>
      <c r="C89" s="29"/>
      <c r="D89" s="101"/>
      <c r="E89" s="52"/>
      <c r="F89" s="126" t="str">
        <f>$F$24</f>
        <v>Total</v>
      </c>
      <c r="G89" s="54" t="str">
        <f>$G$24</f>
        <v>Metering and compliance</v>
      </c>
      <c r="H89" s="54" t="str">
        <f>$H$24</f>
        <v>Water Delivery &amp; Other Operations</v>
      </c>
      <c r="I89" s="54" t="str">
        <f>$I$24</f>
        <v>Flood Operations</v>
      </c>
      <c r="J89" s="54" t="str">
        <f>$J$24</f>
        <v>Hydrometric Monitoring</v>
      </c>
      <c r="K89" s="54" t="str">
        <f>$K$24</f>
        <v>Water Quality Monitoring</v>
      </c>
      <c r="L89" s="54" t="str">
        <f>$L$24</f>
        <v>Direct Insurance</v>
      </c>
      <c r="M89" s="54" t="str">
        <f>$M$24</f>
        <v>Corrective Maintenance</v>
      </c>
      <c r="N89" s="54" t="str">
        <f>$N$24</f>
        <v>Routine Maintenance</v>
      </c>
      <c r="O89" s="54" t="str">
        <f>$O$24</f>
        <v>Renewals and Replacement</v>
      </c>
      <c r="P89" s="54" t="str">
        <f>$P$24</f>
        <v>Asset Management Planning</v>
      </c>
      <c r="Q89" s="54" t="str">
        <f>$Q$24</f>
        <v>Dam Safety Compliance</v>
      </c>
      <c r="R89" s="55" t="str">
        <f>$R$24</f>
        <v>Dam safety compliance on pre 1997 capital projects</v>
      </c>
      <c r="S89" s="54" t="str">
        <f>$S$24</f>
        <v>Environmental Planning &amp; Protection</v>
      </c>
      <c r="T89" s="99" t="str">
        <f>$T$24</f>
        <v>Corporate Systems</v>
      </c>
    </row>
    <row r="90" spans="1:20" x14ac:dyDescent="0.25">
      <c r="A90" s="36"/>
      <c r="C90" s="24" t="s">
        <v>58</v>
      </c>
      <c r="D90" s="25" t="s">
        <v>29</v>
      </c>
      <c r="E90" s="37"/>
      <c r="F90" s="127">
        <f>SUM(G90:T90)</f>
        <v>534.58022543653544</v>
      </c>
      <c r="G90" s="128">
        <f>SUMIF($C$26:$C$38,$A88,G$26:G$38)</f>
        <v>0</v>
      </c>
      <c r="H90" s="128">
        <f>SUMIF($C$26:$C$38,$A88,H$26:H$38)</f>
        <v>0</v>
      </c>
      <c r="I90" s="128">
        <f t="shared" ref="I90:T90" si="32">SUMIF($C$26:$C$38,$A88,I$26:I$38)</f>
        <v>0</v>
      </c>
      <c r="J90" s="128">
        <f t="shared" si="32"/>
        <v>0</v>
      </c>
      <c r="K90" s="128">
        <f t="shared" si="32"/>
        <v>0</v>
      </c>
      <c r="L90" s="128">
        <f t="shared" ref="L90" si="33">SUMIF($C$26:$C$38,$A88,L$26:L$38)</f>
        <v>0</v>
      </c>
      <c r="M90" s="128">
        <f>SUMIF($C$26:$C$38,$A88,M$26:M$38)</f>
        <v>0</v>
      </c>
      <c r="N90" s="128">
        <f t="shared" si="32"/>
        <v>6.2361780253346959</v>
      </c>
      <c r="O90" s="128">
        <f>SUMIF($C$26:$C$38,$A88,O$26:O$38)</f>
        <v>228.065519759284</v>
      </c>
      <c r="P90" s="128">
        <f t="shared" si="32"/>
        <v>26.974492561765132</v>
      </c>
      <c r="Q90" s="128">
        <f t="shared" si="32"/>
        <v>121.90821312501753</v>
      </c>
      <c r="R90" s="128">
        <f>SUMIF($C$26:$C$38,$A88,R$26:R$38)</f>
        <v>0</v>
      </c>
      <c r="S90" s="128">
        <f t="shared" si="32"/>
        <v>0</v>
      </c>
      <c r="T90" s="132">
        <f t="shared" si="32"/>
        <v>151.39582196513405</v>
      </c>
    </row>
    <row r="91" spans="1:20" x14ac:dyDescent="0.25">
      <c r="A91" s="36"/>
      <c r="C91" s="24" t="s">
        <v>53</v>
      </c>
      <c r="D91" s="25" t="s">
        <v>29</v>
      </c>
      <c r="E91" s="26"/>
      <c r="F91" s="129">
        <f>SUM(G91:T91)</f>
        <v>1358.0606354882225</v>
      </c>
      <c r="G91" s="128">
        <f>SUMIF($C$41:$C$53,$A88,G$41:G$53)</f>
        <v>0</v>
      </c>
      <c r="H91" s="128">
        <f>SUMIF($C$41:$C$53,$A88,H$41:H$53)</f>
        <v>0</v>
      </c>
      <c r="I91" s="128">
        <f t="shared" ref="I91:T91" si="34">SUMIF($C$41:$C$53,$A88,I$41:I$53)</f>
        <v>0</v>
      </c>
      <c r="J91" s="128">
        <f t="shared" si="34"/>
        <v>0</v>
      </c>
      <c r="K91" s="128">
        <f t="shared" si="34"/>
        <v>0</v>
      </c>
      <c r="L91" s="128">
        <f t="shared" ref="L91" si="35">SUMIF($C$41:$C$53,$A88,L$41:L$53)</f>
        <v>0</v>
      </c>
      <c r="M91" s="128">
        <f>SUMIF($C$41:$C$53,$A88,M$41:M$53)</f>
        <v>0</v>
      </c>
      <c r="N91" s="128">
        <f t="shared" si="34"/>
        <v>0</v>
      </c>
      <c r="O91" s="128">
        <f>SUMIF($C$41:$C$53,$A88,O$41:O$53)</f>
        <v>1159.3588488645357</v>
      </c>
      <c r="P91" s="128">
        <f t="shared" si="34"/>
        <v>0</v>
      </c>
      <c r="Q91" s="128">
        <f t="shared" si="34"/>
        <v>39.90763470962888</v>
      </c>
      <c r="R91" s="128">
        <f>SUMIF($C$41:$C$53,$A88,R$41:R$53)</f>
        <v>0</v>
      </c>
      <c r="S91" s="128">
        <f t="shared" si="34"/>
        <v>0</v>
      </c>
      <c r="T91" s="132">
        <f t="shared" si="34"/>
        <v>158.79415191405803</v>
      </c>
    </row>
    <row r="92" spans="1:20" x14ac:dyDescent="0.25">
      <c r="A92" s="36"/>
      <c r="C92" s="24" t="s">
        <v>54</v>
      </c>
      <c r="D92" s="25" t="s">
        <v>29</v>
      </c>
      <c r="E92" s="26"/>
      <c r="F92" s="129">
        <f>SUM(G92:T92)</f>
        <v>1266.4535651607257</v>
      </c>
      <c r="G92" s="128">
        <f>SUMIF($C$56:$C$68,$A88,G$56:G$68)</f>
        <v>0</v>
      </c>
      <c r="H92" s="128">
        <f>SUMIF($C$56:$C$68,$A88,H$56:H$68)</f>
        <v>0</v>
      </c>
      <c r="I92" s="128">
        <f t="shared" ref="I92:T92" si="36">SUMIF($C$56:$C$68,$A88,I$56:I$68)</f>
        <v>0</v>
      </c>
      <c r="J92" s="128">
        <f t="shared" si="36"/>
        <v>0</v>
      </c>
      <c r="K92" s="128">
        <f t="shared" si="36"/>
        <v>0</v>
      </c>
      <c r="L92" s="128">
        <f t="shared" ref="L92" si="37">SUMIF($C$56:$C$68,$A88,L$56:L$68)</f>
        <v>0</v>
      </c>
      <c r="M92" s="128">
        <f>SUMIF($C$56:$C$68,$A88,M$56:M$68)</f>
        <v>0</v>
      </c>
      <c r="N92" s="128">
        <f t="shared" si="36"/>
        <v>0</v>
      </c>
      <c r="O92" s="128">
        <f>SUMIF($C$56:$C$68,$A88,O$56:O$68)</f>
        <v>1083.5071277623194</v>
      </c>
      <c r="P92" s="128">
        <f t="shared" si="36"/>
        <v>13.035028289325638</v>
      </c>
      <c r="Q92" s="128">
        <f t="shared" si="36"/>
        <v>73.326897932575932</v>
      </c>
      <c r="R92" s="128">
        <f>SUMIF($C$56:$C$68,$A88,R$56:R$68)</f>
        <v>0</v>
      </c>
      <c r="S92" s="128">
        <f t="shared" si="36"/>
        <v>0</v>
      </c>
      <c r="T92" s="132">
        <f t="shared" si="36"/>
        <v>96.584511176504549</v>
      </c>
    </row>
    <row r="93" spans="1:20" ht="12" thickBot="1" x14ac:dyDescent="0.3">
      <c r="A93" s="36"/>
      <c r="C93" s="96" t="s">
        <v>55</v>
      </c>
      <c r="D93" s="97" t="s">
        <v>29</v>
      </c>
      <c r="E93" s="98"/>
      <c r="F93" s="130">
        <f>SUM(G93:T93)</f>
        <v>517.83259317934471</v>
      </c>
      <c r="G93" s="131">
        <f>SUMIF($C$71:$C$83,$A88,G$71:G$83)</f>
        <v>0</v>
      </c>
      <c r="H93" s="131">
        <f>SUMIF($C$71:$C$83,$A88,H$71:H$83)</f>
        <v>0</v>
      </c>
      <c r="I93" s="131">
        <f t="shared" ref="I93:T93" si="38">SUMIF($C$71:$C$83,$A88,I$71:I$83)</f>
        <v>0</v>
      </c>
      <c r="J93" s="131">
        <f t="shared" si="38"/>
        <v>0</v>
      </c>
      <c r="K93" s="131">
        <f t="shared" si="38"/>
        <v>0</v>
      </c>
      <c r="L93" s="131">
        <f t="shared" ref="L93" si="39">SUMIF($C$71:$C$83,$A88,L$71:L$83)</f>
        <v>0</v>
      </c>
      <c r="M93" s="131">
        <f>SUMIF($C$71:$C$83,$A88,M$71:M$83)</f>
        <v>0</v>
      </c>
      <c r="N93" s="131">
        <f t="shared" si="38"/>
        <v>0</v>
      </c>
      <c r="O93" s="131">
        <f>SUMIF($C$71:$C$83,$A88,O$71:O$83)</f>
        <v>375.13480843905495</v>
      </c>
      <c r="P93" s="131">
        <f t="shared" si="38"/>
        <v>13.035019391750078</v>
      </c>
      <c r="Q93" s="131">
        <f t="shared" si="38"/>
        <v>72.776540204724611</v>
      </c>
      <c r="R93" s="131">
        <f>SUMIF($C$71:$C$83,$A88,R$71:R$83)</f>
        <v>0</v>
      </c>
      <c r="S93" s="131">
        <f t="shared" si="38"/>
        <v>0</v>
      </c>
      <c r="T93" s="133">
        <f t="shared" si="38"/>
        <v>56.886225143815068</v>
      </c>
    </row>
    <row r="94" spans="1:20" x14ac:dyDescent="0.25">
      <c r="A94" s="36"/>
    </row>
    <row r="95" spans="1:20" x14ac:dyDescent="0.25">
      <c r="A95" s="36"/>
    </row>
    <row r="96" spans="1:20" x14ac:dyDescent="0.25">
      <c r="A96" s="36"/>
    </row>
    <row r="97" spans="1:20" ht="12" thickBot="1" x14ac:dyDescent="0.3">
      <c r="A97" s="36" t="str">
        <f>C27</f>
        <v>Gwydir</v>
      </c>
      <c r="C97" s="28" t="str">
        <f>"Table 3: "&amp;A97&amp;" capital expenditure ($'000, $2025-26)"</f>
        <v>Table 3: Gwydir capital expenditure ($'000, $2025-26)</v>
      </c>
    </row>
    <row r="98" spans="1:20" ht="46" x14ac:dyDescent="0.25">
      <c r="A98" s="36"/>
      <c r="C98" s="29"/>
      <c r="D98" s="101"/>
      <c r="E98" s="52"/>
      <c r="F98" s="126" t="str">
        <f>$F$24</f>
        <v>Total</v>
      </c>
      <c r="G98" s="54" t="str">
        <f>$G$24</f>
        <v>Metering and compliance</v>
      </c>
      <c r="H98" s="54" t="str">
        <f>$H$24</f>
        <v>Water Delivery &amp; Other Operations</v>
      </c>
      <c r="I98" s="54" t="str">
        <f>$I$24</f>
        <v>Flood Operations</v>
      </c>
      <c r="J98" s="54" t="str">
        <f>$J$24</f>
        <v>Hydrometric Monitoring</v>
      </c>
      <c r="K98" s="54" t="str">
        <f>$K$24</f>
        <v>Water Quality Monitoring</v>
      </c>
      <c r="L98" s="54" t="str">
        <f>$L$24</f>
        <v>Direct Insurance</v>
      </c>
      <c r="M98" s="54" t="str">
        <f>$M$24</f>
        <v>Corrective Maintenance</v>
      </c>
      <c r="N98" s="54" t="str">
        <f>$N$24</f>
        <v>Routine Maintenance</v>
      </c>
      <c r="O98" s="54" t="str">
        <f>$O$24</f>
        <v>Renewals and Replacement</v>
      </c>
      <c r="P98" s="54" t="str">
        <f>$P$24</f>
        <v>Asset Management Planning</v>
      </c>
      <c r="Q98" s="54" t="str">
        <f>$Q$24</f>
        <v>Dam Safety Compliance</v>
      </c>
      <c r="R98" s="55" t="str">
        <f>$R$24</f>
        <v>Dam safety compliance on pre 1997 capital projects</v>
      </c>
      <c r="S98" s="54" t="str">
        <f>$S$24</f>
        <v>Environmental Planning &amp; Protection</v>
      </c>
      <c r="T98" s="99" t="str">
        <f>$T$24</f>
        <v>Corporate Systems</v>
      </c>
    </row>
    <row r="99" spans="1:20" x14ac:dyDescent="0.25">
      <c r="A99" s="36"/>
      <c r="C99" s="24" t="s">
        <v>58</v>
      </c>
      <c r="D99" s="25" t="s">
        <v>29</v>
      </c>
      <c r="E99" s="37"/>
      <c r="F99" s="127">
        <f>SUM(G99:T99)</f>
        <v>4248.1204858738092</v>
      </c>
      <c r="G99" s="128">
        <f>SUMIF($C$26:$C$38,$A97,G$26:G$38)</f>
        <v>0</v>
      </c>
      <c r="H99" s="128">
        <f>SUMIF($C$26:$C$38,$A97,H$26:H$38)</f>
        <v>0</v>
      </c>
      <c r="I99" s="128">
        <f t="shared" ref="I99:T99" si="40">SUMIF($C$26:$C$38,$A97,I$26:I$38)</f>
        <v>0</v>
      </c>
      <c r="J99" s="128">
        <f t="shared" si="40"/>
        <v>0</v>
      </c>
      <c r="K99" s="128">
        <f t="shared" si="40"/>
        <v>0</v>
      </c>
      <c r="L99" s="128">
        <f t="shared" ref="L99" si="41">SUMIF($C$26:$C$38,$A97,L$26:L$38)</f>
        <v>0</v>
      </c>
      <c r="M99" s="128">
        <f>SUMIF($C$26:$C$38,$A97,M$26:M$38)</f>
        <v>0</v>
      </c>
      <c r="N99" s="128">
        <f t="shared" si="40"/>
        <v>27.656026841607368</v>
      </c>
      <c r="O99" s="128">
        <f>SUMIF($C$26:$C$38,$A97,O$26:O$38)</f>
        <v>1251.6272979194791</v>
      </c>
      <c r="P99" s="128">
        <f t="shared" si="40"/>
        <v>139.69847637415643</v>
      </c>
      <c r="Q99" s="128">
        <f t="shared" si="40"/>
        <v>788.05972613817903</v>
      </c>
      <c r="R99" s="128">
        <f>SUMIF($C$26:$C$38,$A97,R$26:R$38)</f>
        <v>0</v>
      </c>
      <c r="S99" s="128">
        <f t="shared" si="40"/>
        <v>1202.1845424576481</v>
      </c>
      <c r="T99" s="132">
        <f t="shared" si="40"/>
        <v>838.8944161427396</v>
      </c>
    </row>
    <row r="100" spans="1:20" x14ac:dyDescent="0.25">
      <c r="A100" s="36"/>
      <c r="C100" s="24" t="s">
        <v>53</v>
      </c>
      <c r="D100" s="25" t="s">
        <v>29</v>
      </c>
      <c r="E100" s="26"/>
      <c r="F100" s="129">
        <f>SUM(G100:T100)</f>
        <v>8145.1729374453253</v>
      </c>
      <c r="G100" s="128">
        <f>SUMIF($C$41:$C$53,$A97,G$41:G$53)</f>
        <v>0</v>
      </c>
      <c r="H100" s="128">
        <f>SUMIF($C$41:$C$53,$A97,H$41:H$53)</f>
        <v>746.54691546207334</v>
      </c>
      <c r="I100" s="128">
        <f t="shared" ref="I100:T100" si="42">SUMIF($C$41:$C$53,$A97,I$41:I$53)</f>
        <v>0</v>
      </c>
      <c r="J100" s="128">
        <f t="shared" si="42"/>
        <v>0</v>
      </c>
      <c r="K100" s="128">
        <f t="shared" si="42"/>
        <v>0</v>
      </c>
      <c r="L100" s="128">
        <f t="shared" ref="L100" si="43">SUMIF($C$41:$C$53,$A97,L$41:L$53)</f>
        <v>0</v>
      </c>
      <c r="M100" s="128">
        <f>SUMIF($C$41:$C$53,$A97,M$41:M$53)</f>
        <v>0</v>
      </c>
      <c r="N100" s="128">
        <f t="shared" si="42"/>
        <v>0</v>
      </c>
      <c r="O100" s="128">
        <f>SUMIF($C$41:$C$53,$A97,O$41:O$53)</f>
        <v>4635.341013483654</v>
      </c>
      <c r="P100" s="128">
        <f t="shared" si="42"/>
        <v>0</v>
      </c>
      <c r="Q100" s="128">
        <f t="shared" si="42"/>
        <v>629.01101878774068</v>
      </c>
      <c r="R100" s="128">
        <f>SUMIF($C$41:$C$53,$A97,R$41:R$53)</f>
        <v>0</v>
      </c>
      <c r="S100" s="128">
        <f t="shared" si="42"/>
        <v>274.82381078301955</v>
      </c>
      <c r="T100" s="132">
        <f t="shared" si="42"/>
        <v>1859.4501789288381</v>
      </c>
    </row>
    <row r="101" spans="1:20" x14ac:dyDescent="0.25">
      <c r="A101" s="36"/>
      <c r="C101" s="24" t="s">
        <v>54</v>
      </c>
      <c r="D101" s="25" t="s">
        <v>29</v>
      </c>
      <c r="E101" s="26"/>
      <c r="F101" s="129">
        <f>SUM(G101:T101)</f>
        <v>11383.486411727165</v>
      </c>
      <c r="G101" s="128">
        <f>SUMIF($C$56:$C$68,$A97,G$56:G$68)</f>
        <v>0</v>
      </c>
      <c r="H101" s="128">
        <f>SUMIF($C$56:$C$68,$A97,H$56:H$68)</f>
        <v>1745.9057593917735</v>
      </c>
      <c r="I101" s="128">
        <f t="shared" ref="I101:T101" si="44">SUMIF($C$56:$C$68,$A97,I$56:I$68)</f>
        <v>0</v>
      </c>
      <c r="J101" s="128">
        <f t="shared" si="44"/>
        <v>0</v>
      </c>
      <c r="K101" s="128">
        <f t="shared" si="44"/>
        <v>0</v>
      </c>
      <c r="L101" s="128">
        <f t="shared" ref="L101" si="45">SUMIF($C$56:$C$68,$A97,L$56:L$68)</f>
        <v>0</v>
      </c>
      <c r="M101" s="128">
        <f>SUMIF($C$56:$C$68,$A97,M$56:M$68)</f>
        <v>0</v>
      </c>
      <c r="N101" s="128">
        <f t="shared" si="44"/>
        <v>0</v>
      </c>
      <c r="O101" s="128">
        <f>SUMIF($C$56:$C$68,$A97,O$56:O$68)</f>
        <v>6406.082501150503</v>
      </c>
      <c r="P101" s="128">
        <f t="shared" si="44"/>
        <v>226.84329124396339</v>
      </c>
      <c r="Q101" s="128">
        <f t="shared" si="44"/>
        <v>1513.7008138728208</v>
      </c>
      <c r="R101" s="128">
        <f>SUMIF($C$56:$C$68,$A97,R$56:R$68)</f>
        <v>0</v>
      </c>
      <c r="S101" s="128">
        <f t="shared" si="44"/>
        <v>48.548652375720586</v>
      </c>
      <c r="T101" s="132">
        <f t="shared" si="44"/>
        <v>1442.4053936923829</v>
      </c>
    </row>
    <row r="102" spans="1:20" ht="12" thickBot="1" x14ac:dyDescent="0.3">
      <c r="A102" s="36"/>
      <c r="C102" s="96" t="s">
        <v>55</v>
      </c>
      <c r="D102" s="97" t="s">
        <v>29</v>
      </c>
      <c r="E102" s="98"/>
      <c r="F102" s="130">
        <f>SUM(G102:T102)</f>
        <v>7817.9510564017091</v>
      </c>
      <c r="G102" s="131">
        <f>SUMIF($C$71:$C$83,$A97,G$71:G$83)</f>
        <v>0</v>
      </c>
      <c r="H102" s="131">
        <f>SUMIF($C$71:$C$83,$A97,H$71:H$83)</f>
        <v>0</v>
      </c>
      <c r="I102" s="131">
        <f t="shared" ref="I102:T102" si="46">SUMIF($C$71:$C$83,$A97,I$71:I$83)</f>
        <v>0</v>
      </c>
      <c r="J102" s="131">
        <f t="shared" si="46"/>
        <v>0</v>
      </c>
      <c r="K102" s="131">
        <f t="shared" si="46"/>
        <v>0</v>
      </c>
      <c r="L102" s="131">
        <f t="shared" ref="L102" si="47">SUMIF($C$71:$C$83,$A97,L$71:L$83)</f>
        <v>0</v>
      </c>
      <c r="M102" s="131">
        <f>SUMIF($C$71:$C$83,$A97,M$71:M$83)</f>
        <v>0</v>
      </c>
      <c r="N102" s="131">
        <f t="shared" si="46"/>
        <v>0</v>
      </c>
      <c r="O102" s="131">
        <f>SUMIF($C$71:$C$83,$A97,O$71:O$83)</f>
        <v>1903.8646152259628</v>
      </c>
      <c r="P102" s="131">
        <f t="shared" si="46"/>
        <v>226.84313640307778</v>
      </c>
      <c r="Q102" s="131">
        <f t="shared" si="46"/>
        <v>677.10879988685156</v>
      </c>
      <c r="R102" s="131">
        <f>SUMIF($C$71:$C$83,$A97,R$71:R$83)</f>
        <v>0</v>
      </c>
      <c r="S102" s="131">
        <f t="shared" si="46"/>
        <v>4259.3082819670044</v>
      </c>
      <c r="T102" s="133">
        <f t="shared" si="46"/>
        <v>750.82622291881307</v>
      </c>
    </row>
    <row r="103" spans="1:20" x14ac:dyDescent="0.25">
      <c r="A103" s="36"/>
    </row>
    <row r="104" spans="1:20" x14ac:dyDescent="0.25">
      <c r="A104" s="36"/>
    </row>
    <row r="105" spans="1:20" x14ac:dyDescent="0.25">
      <c r="A105" s="36"/>
    </row>
    <row r="106" spans="1:20" ht="12" thickBot="1" x14ac:dyDescent="0.3">
      <c r="A106" s="36" t="str">
        <f>C28</f>
        <v>Namoi</v>
      </c>
      <c r="C106" s="28" t="str">
        <f>"Table 4: "&amp;A106&amp;" capital expenditure ($'000, $2025-26)"</f>
        <v>Table 4: Namoi capital expenditure ($'000, $2025-26)</v>
      </c>
    </row>
    <row r="107" spans="1:20" ht="46" x14ac:dyDescent="0.25">
      <c r="A107" s="36"/>
      <c r="C107" s="29"/>
      <c r="D107" s="101"/>
      <c r="E107" s="52"/>
      <c r="F107" s="126" t="str">
        <f>$F$24</f>
        <v>Total</v>
      </c>
      <c r="G107" s="54" t="str">
        <f>$G$24</f>
        <v>Metering and compliance</v>
      </c>
      <c r="H107" s="54" t="str">
        <f>$H$24</f>
        <v>Water Delivery &amp; Other Operations</v>
      </c>
      <c r="I107" s="54" t="str">
        <f>$I$24</f>
        <v>Flood Operations</v>
      </c>
      <c r="J107" s="54" t="str">
        <f>$J$24</f>
        <v>Hydrometric Monitoring</v>
      </c>
      <c r="K107" s="54" t="str">
        <f>$K$24</f>
        <v>Water Quality Monitoring</v>
      </c>
      <c r="L107" s="54" t="str">
        <f>$L$24</f>
        <v>Direct Insurance</v>
      </c>
      <c r="M107" s="54" t="str">
        <f>$M$24</f>
        <v>Corrective Maintenance</v>
      </c>
      <c r="N107" s="54" t="str">
        <f>$N$24</f>
        <v>Routine Maintenance</v>
      </c>
      <c r="O107" s="54" t="str">
        <f>$O$24</f>
        <v>Renewals and Replacement</v>
      </c>
      <c r="P107" s="54" t="str">
        <f>$P$24</f>
        <v>Asset Management Planning</v>
      </c>
      <c r="Q107" s="54" t="str">
        <f>$Q$24</f>
        <v>Dam Safety Compliance</v>
      </c>
      <c r="R107" s="55" t="str">
        <f>$R$24</f>
        <v>Dam safety compliance on pre 1997 capital projects</v>
      </c>
      <c r="S107" s="54" t="str">
        <f>$S$24</f>
        <v>Environmental Planning &amp; Protection</v>
      </c>
      <c r="T107" s="99" t="str">
        <f>$T$24</f>
        <v>Corporate Systems</v>
      </c>
    </row>
    <row r="108" spans="1:20" x14ac:dyDescent="0.25">
      <c r="A108" s="36"/>
      <c r="C108" s="24" t="s">
        <v>58</v>
      </c>
      <c r="D108" s="25" t="s">
        <v>29</v>
      </c>
      <c r="E108" s="37"/>
      <c r="F108" s="127">
        <f>SUM(G108:T108)</f>
        <v>5671.10307190617</v>
      </c>
      <c r="G108" s="128">
        <f>SUMIF($C$26:$C$38,$A106,G$26:G$38)</f>
        <v>0</v>
      </c>
      <c r="H108" s="128">
        <f>SUMIF($C$26:$C$38,$A106,H$26:H$38)</f>
        <v>0</v>
      </c>
      <c r="I108" s="128">
        <f t="shared" ref="I108:T108" si="48">SUMIF($C$26:$C$38,$A106,I$26:I$38)</f>
        <v>0</v>
      </c>
      <c r="J108" s="128">
        <f t="shared" si="48"/>
        <v>0</v>
      </c>
      <c r="K108" s="128">
        <f t="shared" si="48"/>
        <v>0</v>
      </c>
      <c r="L108" s="128">
        <f t="shared" ref="L108" si="49">SUMIF($C$26:$C$38,$A106,L$26:L$38)</f>
        <v>0</v>
      </c>
      <c r="M108" s="128">
        <f>SUMIF($C$26:$C$38,$A106,M$26:M$38)</f>
        <v>493.17055141317644</v>
      </c>
      <c r="N108" s="128">
        <f t="shared" si="48"/>
        <v>32.891115716256927</v>
      </c>
      <c r="O108" s="128">
        <f>SUMIF($C$26:$C$38,$A106,O$26:O$38)</f>
        <v>987.24959119069126</v>
      </c>
      <c r="P108" s="128">
        <f t="shared" si="48"/>
        <v>177.37430515573038</v>
      </c>
      <c r="Q108" s="128">
        <f t="shared" si="48"/>
        <v>621.62577201615568</v>
      </c>
      <c r="R108" s="128">
        <f>SUMIF($C$26:$C$38,$A106,R$26:R$38)</f>
        <v>0</v>
      </c>
      <c r="S108" s="128">
        <f t="shared" si="48"/>
        <v>2286.6106283765239</v>
      </c>
      <c r="T108" s="132">
        <f t="shared" si="48"/>
        <v>1072.1811080376358</v>
      </c>
    </row>
    <row r="109" spans="1:20" x14ac:dyDescent="0.25">
      <c r="A109" s="36"/>
      <c r="C109" s="24" t="s">
        <v>53</v>
      </c>
      <c r="D109" s="25" t="s">
        <v>29</v>
      </c>
      <c r="E109" s="26"/>
      <c r="F109" s="129">
        <f>SUM(G109:T109)</f>
        <v>10989.050159390034</v>
      </c>
      <c r="G109" s="128">
        <f>SUMIF($C$41:$C$53,$A106,G$41:G$53)</f>
        <v>0</v>
      </c>
      <c r="H109" s="128">
        <f>SUMIF($C$41:$C$53,$A106,H$41:H$53)</f>
        <v>914.36810083384853</v>
      </c>
      <c r="I109" s="128">
        <f t="shared" ref="I109:T109" si="50">SUMIF($C$41:$C$53,$A106,I$41:I$53)</f>
        <v>0</v>
      </c>
      <c r="J109" s="128">
        <f t="shared" si="50"/>
        <v>0</v>
      </c>
      <c r="K109" s="128">
        <f t="shared" si="50"/>
        <v>0</v>
      </c>
      <c r="L109" s="128">
        <f t="shared" ref="L109" si="51">SUMIF($C$41:$C$53,$A106,L$41:L$53)</f>
        <v>0</v>
      </c>
      <c r="M109" s="128">
        <f>SUMIF($C$41:$C$53,$A106,M$41:M$53)</f>
        <v>0</v>
      </c>
      <c r="N109" s="128">
        <f t="shared" si="50"/>
        <v>0</v>
      </c>
      <c r="O109" s="128">
        <f>SUMIF($C$41:$C$53,$A106,O$41:O$53)</f>
        <v>1318.804288921174</v>
      </c>
      <c r="P109" s="128">
        <f t="shared" si="50"/>
        <v>0</v>
      </c>
      <c r="Q109" s="128">
        <f t="shared" si="50"/>
        <v>115.36012955876367</v>
      </c>
      <c r="R109" s="128">
        <f>SUMIF($C$41:$C$53,$A106,R$41:R$53)</f>
        <v>0</v>
      </c>
      <c r="S109" s="128">
        <f t="shared" si="50"/>
        <v>6402.565134684095</v>
      </c>
      <c r="T109" s="132">
        <f t="shared" si="50"/>
        <v>2237.952505392152</v>
      </c>
    </row>
    <row r="110" spans="1:20" x14ac:dyDescent="0.25">
      <c r="A110" s="36"/>
      <c r="C110" s="24" t="s">
        <v>54</v>
      </c>
      <c r="D110" s="25" t="s">
        <v>29</v>
      </c>
      <c r="E110" s="26"/>
      <c r="F110" s="129">
        <f>SUM(G110:T110)</f>
        <v>14503.060868251596</v>
      </c>
      <c r="G110" s="128">
        <f>SUMIF($C$56:$C$68,$A106,G$56:G$68)</f>
        <v>0</v>
      </c>
      <c r="H110" s="128">
        <f>SUMIF($C$56:$C$68,$A106,H$56:H$68)</f>
        <v>52.502250407651879</v>
      </c>
      <c r="I110" s="128">
        <f t="shared" ref="I110:T110" si="52">SUMIF($C$56:$C$68,$A106,I$56:I$68)</f>
        <v>0</v>
      </c>
      <c r="J110" s="128">
        <f t="shared" si="52"/>
        <v>0</v>
      </c>
      <c r="K110" s="128">
        <f t="shared" si="52"/>
        <v>0</v>
      </c>
      <c r="L110" s="128">
        <f t="shared" ref="L110" si="53">SUMIF($C$56:$C$68,$A106,L$56:L$68)</f>
        <v>0</v>
      </c>
      <c r="M110" s="128">
        <f>SUMIF($C$56:$C$68,$A106,M$56:M$68)</f>
        <v>0</v>
      </c>
      <c r="N110" s="128">
        <f t="shared" si="52"/>
        <v>0</v>
      </c>
      <c r="O110" s="128">
        <f>SUMIF($C$56:$C$68,$A106,O$56:O$68)</f>
        <v>2969.1756831468924</v>
      </c>
      <c r="P110" s="128">
        <f t="shared" si="52"/>
        <v>136.83990119114873</v>
      </c>
      <c r="Q110" s="128">
        <f t="shared" si="52"/>
        <v>314.12111230252128</v>
      </c>
      <c r="R110" s="128">
        <f>SUMIF($C$56:$C$68,$A106,R$56:R$68)</f>
        <v>0</v>
      </c>
      <c r="S110" s="128">
        <f t="shared" si="52"/>
        <v>9602.248157641714</v>
      </c>
      <c r="T110" s="132">
        <f t="shared" si="52"/>
        <v>1428.1737635616655</v>
      </c>
    </row>
    <row r="111" spans="1:20" ht="12" thickBot="1" x14ac:dyDescent="0.3">
      <c r="A111" s="36"/>
      <c r="C111" s="96" t="s">
        <v>55</v>
      </c>
      <c r="D111" s="97" t="s">
        <v>29</v>
      </c>
      <c r="E111" s="98"/>
      <c r="F111" s="130">
        <f>SUM(G111:T111)</f>
        <v>4553.7593448062498</v>
      </c>
      <c r="G111" s="131">
        <f>SUMIF($C$71:$C$83,$A106,G$71:G$83)</f>
        <v>0</v>
      </c>
      <c r="H111" s="131">
        <f>SUMIF($C$71:$C$83,$A106,H$71:H$83)</f>
        <v>52.977931640958531</v>
      </c>
      <c r="I111" s="131">
        <f t="shared" ref="I111:T111" si="54">SUMIF($C$71:$C$83,$A106,I$71:I$83)</f>
        <v>0</v>
      </c>
      <c r="J111" s="131">
        <f t="shared" si="54"/>
        <v>0</v>
      </c>
      <c r="K111" s="131">
        <f t="shared" si="54"/>
        <v>0</v>
      </c>
      <c r="L111" s="131">
        <f t="shared" ref="L111" si="55">SUMIF($C$71:$C$83,$A106,L$71:L$83)</f>
        <v>0</v>
      </c>
      <c r="M111" s="131">
        <f>SUMIF($C$71:$C$83,$A106,M$71:M$83)</f>
        <v>0</v>
      </c>
      <c r="N111" s="131">
        <f t="shared" si="54"/>
        <v>0</v>
      </c>
      <c r="O111" s="131">
        <f>SUMIF($C$71:$C$83,$A106,O$71:O$83)</f>
        <v>2994.4547612374545</v>
      </c>
      <c r="P111" s="131">
        <f t="shared" si="54"/>
        <v>136.83980778564674</v>
      </c>
      <c r="Q111" s="131">
        <f t="shared" si="54"/>
        <v>311.75926212415436</v>
      </c>
      <c r="R111" s="131">
        <f>SUMIF($C$71:$C$83,$A106,R$71:R$83)</f>
        <v>0</v>
      </c>
      <c r="S111" s="131">
        <f t="shared" si="54"/>
        <v>124.66115292820137</v>
      </c>
      <c r="T111" s="133">
        <f t="shared" si="54"/>
        <v>933.06642908983451</v>
      </c>
    </row>
    <row r="112" spans="1:20" x14ac:dyDescent="0.25">
      <c r="A112" s="36"/>
    </row>
    <row r="113" spans="1:20" x14ac:dyDescent="0.25">
      <c r="A113" s="36"/>
    </row>
    <row r="114" spans="1:20" x14ac:dyDescent="0.25">
      <c r="A114" s="36"/>
    </row>
    <row r="115" spans="1:20" ht="12" thickBot="1" x14ac:dyDescent="0.3">
      <c r="A115" s="36" t="str">
        <f>C29</f>
        <v>Peel</v>
      </c>
      <c r="C115" s="28" t="str">
        <f>"Table 5: "&amp;A115&amp;" capital expenditure ($'000, $2025-26)"</f>
        <v>Table 5: Peel capital expenditure ($'000, $2025-26)</v>
      </c>
    </row>
    <row r="116" spans="1:20" ht="46" x14ac:dyDescent="0.25">
      <c r="A116" s="36"/>
      <c r="C116" s="29"/>
      <c r="D116" s="101"/>
      <c r="E116" s="52"/>
      <c r="F116" s="126" t="str">
        <f>$F$24</f>
        <v>Total</v>
      </c>
      <c r="G116" s="54" t="str">
        <f>$G$24</f>
        <v>Metering and compliance</v>
      </c>
      <c r="H116" s="54" t="str">
        <f>$H$24</f>
        <v>Water Delivery &amp; Other Operations</v>
      </c>
      <c r="I116" s="54" t="str">
        <f>$I$24</f>
        <v>Flood Operations</v>
      </c>
      <c r="J116" s="54" t="str">
        <f>$J$24</f>
        <v>Hydrometric Monitoring</v>
      </c>
      <c r="K116" s="54" t="str">
        <f>$K$24</f>
        <v>Water Quality Monitoring</v>
      </c>
      <c r="L116" s="54" t="str">
        <f>$L$24</f>
        <v>Direct Insurance</v>
      </c>
      <c r="M116" s="54" t="str">
        <f>$M$24</f>
        <v>Corrective Maintenance</v>
      </c>
      <c r="N116" s="54" t="str">
        <f>$N$24</f>
        <v>Routine Maintenance</v>
      </c>
      <c r="O116" s="54" t="str">
        <f>$O$24</f>
        <v>Renewals and Replacement</v>
      </c>
      <c r="P116" s="54" t="str">
        <f>$P$24</f>
        <v>Asset Management Planning</v>
      </c>
      <c r="Q116" s="54" t="str">
        <f>$Q$24</f>
        <v>Dam Safety Compliance</v>
      </c>
      <c r="R116" s="55" t="str">
        <f>$R$24</f>
        <v>Dam safety compliance on pre 1997 capital projects</v>
      </c>
      <c r="S116" s="54" t="str">
        <f>$S$24</f>
        <v>Environmental Planning &amp; Protection</v>
      </c>
      <c r="T116" s="99" t="str">
        <f>$T$24</f>
        <v>Corporate Systems</v>
      </c>
    </row>
    <row r="117" spans="1:20" x14ac:dyDescent="0.25">
      <c r="A117" s="36"/>
      <c r="C117" s="24" t="s">
        <v>58</v>
      </c>
      <c r="D117" s="25" t="s">
        <v>29</v>
      </c>
      <c r="E117" s="37"/>
      <c r="F117" s="127">
        <f>SUM(G117:T117)</f>
        <v>514.15098172651597</v>
      </c>
      <c r="G117" s="128">
        <f>SUMIF($C$26:$C$38,$A115,G$26:G$38)</f>
        <v>0</v>
      </c>
      <c r="H117" s="128">
        <f>SUMIF($C$26:$C$38,$A115,H$26:H$38)</f>
        <v>0</v>
      </c>
      <c r="I117" s="128">
        <f t="shared" ref="I117:T117" si="56">SUMIF($C$26:$C$38,$A115,I$26:I$38)</f>
        <v>0</v>
      </c>
      <c r="J117" s="128">
        <f t="shared" si="56"/>
        <v>0</v>
      </c>
      <c r="K117" s="128">
        <f t="shared" si="56"/>
        <v>0</v>
      </c>
      <c r="L117" s="128">
        <f t="shared" ref="L117" si="57">SUMIF($C$26:$C$38,$A115,L$26:L$38)</f>
        <v>0</v>
      </c>
      <c r="M117" s="128">
        <f>SUMIF($C$26:$C$38,$A115,M$26:M$38)</f>
        <v>0</v>
      </c>
      <c r="N117" s="128">
        <f t="shared" si="56"/>
        <v>8.100600506304195</v>
      </c>
      <c r="O117" s="128">
        <f>SUMIF($C$26:$C$38,$A115,O$26:O$38)</f>
        <v>200.75169583334204</v>
      </c>
      <c r="P117" s="128">
        <f t="shared" si="56"/>
        <v>42.81794037670565</v>
      </c>
      <c r="Q117" s="128">
        <f t="shared" si="56"/>
        <v>74.484544402779548</v>
      </c>
      <c r="R117" s="128">
        <f>SUMIF($C$26:$C$38,$A115,R$26:R$38)</f>
        <v>0</v>
      </c>
      <c r="S117" s="128">
        <f t="shared" si="56"/>
        <v>0</v>
      </c>
      <c r="T117" s="132">
        <f t="shared" si="56"/>
        <v>187.99620060738457</v>
      </c>
    </row>
    <row r="118" spans="1:20" x14ac:dyDescent="0.25">
      <c r="A118" s="36"/>
      <c r="C118" s="24" t="s">
        <v>53</v>
      </c>
      <c r="D118" s="25" t="s">
        <v>29</v>
      </c>
      <c r="E118" s="26"/>
      <c r="F118" s="129">
        <f>SUM(G118:T118)</f>
        <v>962.25419361540162</v>
      </c>
      <c r="G118" s="128">
        <f>SUMIF($C$41:$C$53,$A115,G$41:G$53)</f>
        <v>0</v>
      </c>
      <c r="H118" s="128">
        <f>SUMIF($C$41:$C$53,$A115,H$41:H$53)</f>
        <v>129.72892537498234</v>
      </c>
      <c r="I118" s="128">
        <f t="shared" ref="I118:T118" si="58">SUMIF($C$41:$C$53,$A115,I$41:I$53)</f>
        <v>0</v>
      </c>
      <c r="J118" s="128">
        <f t="shared" si="58"/>
        <v>0</v>
      </c>
      <c r="K118" s="128">
        <f t="shared" si="58"/>
        <v>0</v>
      </c>
      <c r="L118" s="128">
        <f t="shared" ref="L118" si="59">SUMIF($C$41:$C$53,$A115,L$41:L$53)</f>
        <v>0</v>
      </c>
      <c r="M118" s="128">
        <f>SUMIF($C$41:$C$53,$A115,M$41:M$53)</f>
        <v>0</v>
      </c>
      <c r="N118" s="128">
        <f t="shared" si="58"/>
        <v>0</v>
      </c>
      <c r="O118" s="128">
        <f>SUMIF($C$41:$C$53,$A115,O$41:O$53)</f>
        <v>52.020669135264228</v>
      </c>
      <c r="P118" s="128">
        <f t="shared" si="58"/>
        <v>0</v>
      </c>
      <c r="Q118" s="128">
        <f t="shared" si="58"/>
        <v>44.157468786964856</v>
      </c>
      <c r="R118" s="128">
        <f>SUMIF($C$41:$C$53,$A115,R$41:R$53)</f>
        <v>0</v>
      </c>
      <c r="S118" s="128">
        <f t="shared" si="58"/>
        <v>0</v>
      </c>
      <c r="T118" s="132">
        <f t="shared" si="58"/>
        <v>736.34713031819024</v>
      </c>
    </row>
    <row r="119" spans="1:20" x14ac:dyDescent="0.25">
      <c r="A119" s="36"/>
      <c r="C119" s="24" t="s">
        <v>54</v>
      </c>
      <c r="D119" s="25" t="s">
        <v>29</v>
      </c>
      <c r="E119" s="26"/>
      <c r="F119" s="129">
        <f>SUM(G119:T119)</f>
        <v>690.53451799052755</v>
      </c>
      <c r="G119" s="128">
        <f>SUMIF($C$56:$C$68,$A115,G$56:G$68)</f>
        <v>0</v>
      </c>
      <c r="H119" s="128">
        <f>SUMIF($C$56:$C$68,$A115,H$56:H$68)</f>
        <v>0</v>
      </c>
      <c r="I119" s="128">
        <f t="shared" ref="I119:T119" si="60">SUMIF($C$56:$C$68,$A115,I$56:I$68)</f>
        <v>0</v>
      </c>
      <c r="J119" s="128">
        <f t="shared" si="60"/>
        <v>0</v>
      </c>
      <c r="K119" s="128">
        <f t="shared" si="60"/>
        <v>0</v>
      </c>
      <c r="L119" s="128">
        <f t="shared" ref="L119" si="61">SUMIF($C$56:$C$68,$A115,L$56:L$68)</f>
        <v>0</v>
      </c>
      <c r="M119" s="128">
        <f>SUMIF($C$56:$C$68,$A115,M$56:M$68)</f>
        <v>0</v>
      </c>
      <c r="N119" s="128">
        <f t="shared" si="60"/>
        <v>0</v>
      </c>
      <c r="O119" s="128">
        <f>SUMIF($C$56:$C$68,$A115,O$56:O$68)</f>
        <v>179.59923159638944</v>
      </c>
      <c r="P119" s="128">
        <f t="shared" si="60"/>
        <v>5.1666607347869355</v>
      </c>
      <c r="Q119" s="128">
        <f t="shared" si="60"/>
        <v>77.561788889186261</v>
      </c>
      <c r="R119" s="128">
        <f>SUMIF($C$56:$C$68,$A115,R$56:R$68)</f>
        <v>0</v>
      </c>
      <c r="S119" s="128">
        <f t="shared" si="60"/>
        <v>0</v>
      </c>
      <c r="T119" s="132">
        <f t="shared" si="60"/>
        <v>428.2068367701649</v>
      </c>
    </row>
    <row r="120" spans="1:20" ht="12" thickBot="1" x14ac:dyDescent="0.3">
      <c r="A120" s="36"/>
      <c r="C120" s="96" t="s">
        <v>55</v>
      </c>
      <c r="D120" s="97" t="s">
        <v>29</v>
      </c>
      <c r="E120" s="98"/>
      <c r="F120" s="130">
        <f>SUM(G120:T120)</f>
        <v>781.15179774406363</v>
      </c>
      <c r="G120" s="131">
        <f>SUMIF($C$71:$C$83,$A115,G$71:G$83)</f>
        <v>0</v>
      </c>
      <c r="H120" s="131">
        <f>SUMIF($C$71:$C$83,$A115,H$71:H$83)</f>
        <v>0</v>
      </c>
      <c r="I120" s="131">
        <f t="shared" ref="I120:T120" si="62">SUMIF($C$71:$C$83,$A115,I$71:I$83)</f>
        <v>0</v>
      </c>
      <c r="J120" s="131">
        <f t="shared" si="62"/>
        <v>0</v>
      </c>
      <c r="K120" s="131">
        <f t="shared" si="62"/>
        <v>0</v>
      </c>
      <c r="L120" s="131">
        <f t="shared" ref="L120" si="63">SUMIF($C$71:$C$83,$A115,L$71:L$83)</f>
        <v>0</v>
      </c>
      <c r="M120" s="131">
        <f>SUMIF($C$71:$C$83,$A115,M$71:M$83)</f>
        <v>0</v>
      </c>
      <c r="N120" s="131">
        <f t="shared" si="62"/>
        <v>0</v>
      </c>
      <c r="O120" s="131">
        <f>SUMIF($C$71:$C$83,$A115,O$71:O$83)</f>
        <v>391.70939214268947</v>
      </c>
      <c r="P120" s="131">
        <f t="shared" si="62"/>
        <v>5.1666572080777291</v>
      </c>
      <c r="Q120" s="131">
        <f t="shared" si="62"/>
        <v>76.978463134602634</v>
      </c>
      <c r="R120" s="131">
        <f>SUMIF($C$71:$C$83,$A115,R$71:R$83)</f>
        <v>0</v>
      </c>
      <c r="S120" s="131">
        <f t="shared" si="62"/>
        <v>0</v>
      </c>
      <c r="T120" s="133">
        <f t="shared" si="62"/>
        <v>307.29728525869382</v>
      </c>
    </row>
    <row r="121" spans="1:20" x14ac:dyDescent="0.25">
      <c r="A121" s="36"/>
    </row>
    <row r="122" spans="1:20" x14ac:dyDescent="0.25">
      <c r="A122" s="36"/>
    </row>
    <row r="123" spans="1:20" x14ac:dyDescent="0.25">
      <c r="A123" s="36"/>
    </row>
    <row r="124" spans="1:20" ht="12" thickBot="1" x14ac:dyDescent="0.3">
      <c r="A124" s="36" t="str">
        <f>C30</f>
        <v>Lachlan</v>
      </c>
      <c r="C124" s="28" t="str">
        <f>"Table 6: "&amp;A124&amp;" capital expenditure ($'000, $2025-26)"</f>
        <v>Table 6: Lachlan capital expenditure ($'000, $2025-26)</v>
      </c>
    </row>
    <row r="125" spans="1:20" ht="46" x14ac:dyDescent="0.25">
      <c r="A125" s="36"/>
      <c r="C125" s="29"/>
      <c r="D125" s="101"/>
      <c r="E125" s="52"/>
      <c r="F125" s="126" t="str">
        <f>$F$24</f>
        <v>Total</v>
      </c>
      <c r="G125" s="54" t="str">
        <f>$G$24</f>
        <v>Metering and compliance</v>
      </c>
      <c r="H125" s="54" t="str">
        <f>$H$24</f>
        <v>Water Delivery &amp; Other Operations</v>
      </c>
      <c r="I125" s="54" t="str">
        <f>$I$24</f>
        <v>Flood Operations</v>
      </c>
      <c r="J125" s="54" t="str">
        <f>$J$24</f>
        <v>Hydrometric Monitoring</v>
      </c>
      <c r="K125" s="54" t="str">
        <f>$K$24</f>
        <v>Water Quality Monitoring</v>
      </c>
      <c r="L125" s="54" t="str">
        <f>$L$24</f>
        <v>Direct Insurance</v>
      </c>
      <c r="M125" s="54" t="str">
        <f>$M$24</f>
        <v>Corrective Maintenance</v>
      </c>
      <c r="N125" s="54" t="str">
        <f>$N$24</f>
        <v>Routine Maintenance</v>
      </c>
      <c r="O125" s="54" t="str">
        <f>$O$24</f>
        <v>Renewals and Replacement</v>
      </c>
      <c r="P125" s="54" t="str">
        <f>$P$24</f>
        <v>Asset Management Planning</v>
      </c>
      <c r="Q125" s="54" t="str">
        <f>$Q$24</f>
        <v>Dam Safety Compliance</v>
      </c>
      <c r="R125" s="55" t="str">
        <f>$R$24</f>
        <v>Dam safety compliance on pre 1997 capital projects</v>
      </c>
      <c r="S125" s="54" t="str">
        <f>$S$24</f>
        <v>Environmental Planning &amp; Protection</v>
      </c>
      <c r="T125" s="99" t="str">
        <f>$T$24</f>
        <v>Corporate Systems</v>
      </c>
    </row>
    <row r="126" spans="1:20" x14ac:dyDescent="0.25">
      <c r="A126" s="36"/>
      <c r="C126" s="24" t="s">
        <v>58</v>
      </c>
      <c r="D126" s="25" t="s">
        <v>29</v>
      </c>
      <c r="E126" s="37"/>
      <c r="F126" s="127">
        <f>SUM(G126:T126)</f>
        <v>11891.784391091313</v>
      </c>
      <c r="G126" s="128">
        <f>SUMIF($C$26:$C$38,$A124,G$26:G$38)</f>
        <v>0</v>
      </c>
      <c r="H126" s="128">
        <f>SUMIF($C$26:$C$38,$A124,H$26:H$38)</f>
        <v>699.07343542107776</v>
      </c>
      <c r="I126" s="128">
        <f t="shared" ref="I126:T126" si="64">SUMIF($C$26:$C$38,$A124,I$26:I$38)</f>
        <v>0</v>
      </c>
      <c r="J126" s="128">
        <f t="shared" si="64"/>
        <v>0</v>
      </c>
      <c r="K126" s="128">
        <f t="shared" si="64"/>
        <v>0</v>
      </c>
      <c r="L126" s="128">
        <f t="shared" ref="L126" si="65">SUMIF($C$26:$C$38,$A124,L$26:L$38)</f>
        <v>0</v>
      </c>
      <c r="M126" s="128">
        <f>SUMIF($C$26:$C$38,$A124,M$26:M$38)</f>
        <v>0</v>
      </c>
      <c r="N126" s="128">
        <f t="shared" si="64"/>
        <v>36.456146122062954</v>
      </c>
      <c r="O126" s="128">
        <f>SUMIF($C$26:$C$38,$A124,O$26:O$38)</f>
        <v>5055.8018499151667</v>
      </c>
      <c r="P126" s="128">
        <f t="shared" si="64"/>
        <v>172.70863187545351</v>
      </c>
      <c r="Q126" s="128">
        <f t="shared" si="64"/>
        <v>3077.0038176187663</v>
      </c>
      <c r="R126" s="128">
        <f>SUMIF($C$26:$C$38,$A124,R$26:R$38)</f>
        <v>0</v>
      </c>
      <c r="S126" s="128">
        <f t="shared" si="64"/>
        <v>1827.1497482526552</v>
      </c>
      <c r="T126" s="132">
        <f t="shared" si="64"/>
        <v>1023.5907618861294</v>
      </c>
    </row>
    <row r="127" spans="1:20" x14ac:dyDescent="0.25">
      <c r="A127" s="36"/>
      <c r="C127" s="24" t="s">
        <v>53</v>
      </c>
      <c r="D127" s="25" t="s">
        <v>29</v>
      </c>
      <c r="E127" s="26"/>
      <c r="F127" s="129">
        <f>SUM(G127:T127)</f>
        <v>21161.311261484647</v>
      </c>
      <c r="G127" s="128">
        <f>SUMIF($C$41:$C$53,$A124,G$41:G$53)</f>
        <v>0</v>
      </c>
      <c r="H127" s="128">
        <f>SUMIF($C$41:$C$53,$A124,H$41:H$53)</f>
        <v>123.07025279014573</v>
      </c>
      <c r="I127" s="128">
        <f t="shared" ref="I127:T127" si="66">SUMIF($C$41:$C$53,$A124,I$41:I$53)</f>
        <v>0</v>
      </c>
      <c r="J127" s="128">
        <f t="shared" si="66"/>
        <v>0</v>
      </c>
      <c r="K127" s="128">
        <f t="shared" si="66"/>
        <v>0</v>
      </c>
      <c r="L127" s="128">
        <f t="shared" ref="L127" si="67">SUMIF($C$41:$C$53,$A124,L$41:L$53)</f>
        <v>0</v>
      </c>
      <c r="M127" s="128">
        <f>SUMIF($C$41:$C$53,$A124,M$41:M$53)</f>
        <v>0</v>
      </c>
      <c r="N127" s="128">
        <f t="shared" si="66"/>
        <v>0</v>
      </c>
      <c r="O127" s="128">
        <f>SUMIF($C$41:$C$53,$A124,O$41:O$53)</f>
        <v>13041.909147781591</v>
      </c>
      <c r="P127" s="128">
        <f t="shared" si="66"/>
        <v>0</v>
      </c>
      <c r="Q127" s="128">
        <f t="shared" si="66"/>
        <v>127.99801336353117</v>
      </c>
      <c r="R127" s="128">
        <f>SUMIF($C$41:$C$53,$A124,R$41:R$53)</f>
        <v>0</v>
      </c>
      <c r="S127" s="128">
        <f t="shared" si="66"/>
        <v>6184.532986207555</v>
      </c>
      <c r="T127" s="132">
        <f t="shared" si="66"/>
        <v>1683.8008613418233</v>
      </c>
    </row>
    <row r="128" spans="1:20" x14ac:dyDescent="0.25">
      <c r="A128" s="36"/>
      <c r="C128" s="24" t="s">
        <v>54</v>
      </c>
      <c r="D128" s="25" t="s">
        <v>29</v>
      </c>
      <c r="E128" s="26"/>
      <c r="F128" s="129">
        <f>SUM(G128:T128)</f>
        <v>20793.062868085715</v>
      </c>
      <c r="G128" s="128">
        <f>SUMIF($C$56:$C$68,$A124,G$56:G$68)</f>
        <v>0</v>
      </c>
      <c r="H128" s="128">
        <f>SUMIF($C$56:$C$68,$A124,H$56:H$68)</f>
        <v>270.14804702438397</v>
      </c>
      <c r="I128" s="128">
        <f t="shared" ref="I128:T128" si="68">SUMIF($C$56:$C$68,$A124,I$56:I$68)</f>
        <v>0</v>
      </c>
      <c r="J128" s="128">
        <f t="shared" si="68"/>
        <v>0</v>
      </c>
      <c r="K128" s="128">
        <f t="shared" si="68"/>
        <v>0</v>
      </c>
      <c r="L128" s="128">
        <f t="shared" ref="L128" si="69">SUMIF($C$56:$C$68,$A124,L$56:L$68)</f>
        <v>0</v>
      </c>
      <c r="M128" s="128">
        <f>SUMIF($C$56:$C$68,$A124,M$56:M$68)</f>
        <v>0</v>
      </c>
      <c r="N128" s="128">
        <f t="shared" si="68"/>
        <v>0</v>
      </c>
      <c r="O128" s="128">
        <f>SUMIF($C$56:$C$68,$A124,O$56:O$68)</f>
        <v>12848.776079523954</v>
      </c>
      <c r="P128" s="128">
        <f t="shared" si="68"/>
        <v>366.13873973670007</v>
      </c>
      <c r="Q128" s="128">
        <f t="shared" si="68"/>
        <v>128.52250124337019</v>
      </c>
      <c r="R128" s="128">
        <f>SUMIF($C$56:$C$68,$A124,R$56:R$68)</f>
        <v>0</v>
      </c>
      <c r="S128" s="128">
        <f t="shared" si="68"/>
        <v>6013.1625832726813</v>
      </c>
      <c r="T128" s="132">
        <f t="shared" si="68"/>
        <v>1166.3149172846267</v>
      </c>
    </row>
    <row r="129" spans="1:20" ht="12" thickBot="1" x14ac:dyDescent="0.3">
      <c r="A129" s="36"/>
      <c r="C129" s="96" t="s">
        <v>55</v>
      </c>
      <c r="D129" s="97" t="s">
        <v>29</v>
      </c>
      <c r="E129" s="98"/>
      <c r="F129" s="130">
        <f>SUM(G129:T129)</f>
        <v>4640.7298021306742</v>
      </c>
      <c r="G129" s="131">
        <f>SUMIF($C$71:$C$83,$A124,G$71:G$83)</f>
        <v>0</v>
      </c>
      <c r="H129" s="131">
        <f>SUMIF($C$71:$C$83,$A124,H$71:H$83)</f>
        <v>260.54089494686394</v>
      </c>
      <c r="I129" s="131">
        <f t="shared" ref="I129:T129" si="70">SUMIF($C$71:$C$83,$A124,I$71:I$83)</f>
        <v>0</v>
      </c>
      <c r="J129" s="131">
        <f t="shared" si="70"/>
        <v>0</v>
      </c>
      <c r="K129" s="131">
        <f t="shared" si="70"/>
        <v>0</v>
      </c>
      <c r="L129" s="131">
        <f t="shared" ref="L129" si="71">SUMIF($C$71:$C$83,$A124,L$71:L$83)</f>
        <v>0</v>
      </c>
      <c r="M129" s="131">
        <f>SUMIF($C$71:$C$83,$A124,M$71:M$83)</f>
        <v>0</v>
      </c>
      <c r="N129" s="131">
        <f t="shared" si="70"/>
        <v>0</v>
      </c>
      <c r="O129" s="131">
        <f>SUMIF($C$71:$C$83,$A124,O$71:O$83)</f>
        <v>3173.7151001872971</v>
      </c>
      <c r="P129" s="131">
        <f t="shared" si="70"/>
        <v>366.13848981418124</v>
      </c>
      <c r="Q129" s="131">
        <f t="shared" si="70"/>
        <v>127.55596099723246</v>
      </c>
      <c r="R129" s="131">
        <f>SUMIF($C$71:$C$83,$A124,R$71:R$83)</f>
        <v>0</v>
      </c>
      <c r="S129" s="131">
        <f t="shared" si="70"/>
        <v>41.220414682609977</v>
      </c>
      <c r="T129" s="133">
        <f t="shared" si="70"/>
        <v>671.55894150249003</v>
      </c>
    </row>
    <row r="130" spans="1:20" x14ac:dyDescent="0.25">
      <c r="A130" s="36"/>
    </row>
    <row r="131" spans="1:20" x14ac:dyDescent="0.25">
      <c r="A131" s="36"/>
    </row>
    <row r="132" spans="1:20" x14ac:dyDescent="0.25">
      <c r="A132" s="36"/>
    </row>
    <row r="133" spans="1:20" ht="12" thickBot="1" x14ac:dyDescent="0.3">
      <c r="A133" s="36" t="str">
        <f>C31</f>
        <v>Macquarie</v>
      </c>
      <c r="C133" s="28" t="str">
        <f>"Table 7: "&amp;A133&amp;" capital expenditure ($'000, $2025-26)"</f>
        <v>Table 7: Macquarie capital expenditure ($'000, $2025-26)</v>
      </c>
    </row>
    <row r="134" spans="1:20" ht="46" x14ac:dyDescent="0.25">
      <c r="A134" s="36"/>
      <c r="C134" s="29"/>
      <c r="D134" s="101"/>
      <c r="E134" s="52"/>
      <c r="F134" s="126" t="str">
        <f>$F$24</f>
        <v>Total</v>
      </c>
      <c r="G134" s="54" t="str">
        <f>$G$24</f>
        <v>Metering and compliance</v>
      </c>
      <c r="H134" s="54" t="str">
        <f>$H$24</f>
        <v>Water Delivery &amp; Other Operations</v>
      </c>
      <c r="I134" s="54" t="str">
        <f>$I$24</f>
        <v>Flood Operations</v>
      </c>
      <c r="J134" s="54" t="str">
        <f>$J$24</f>
        <v>Hydrometric Monitoring</v>
      </c>
      <c r="K134" s="54" t="str">
        <f>$K$24</f>
        <v>Water Quality Monitoring</v>
      </c>
      <c r="L134" s="54" t="str">
        <f>$L$24</f>
        <v>Direct Insurance</v>
      </c>
      <c r="M134" s="54" t="str">
        <f>$M$24</f>
        <v>Corrective Maintenance</v>
      </c>
      <c r="N134" s="54" t="str">
        <f>$N$24</f>
        <v>Routine Maintenance</v>
      </c>
      <c r="O134" s="54" t="str">
        <f>$O$24</f>
        <v>Renewals and Replacement</v>
      </c>
      <c r="P134" s="54" t="str">
        <f>$P$24</f>
        <v>Asset Management Planning</v>
      </c>
      <c r="Q134" s="54" t="str">
        <f>$Q$24</f>
        <v>Dam Safety Compliance</v>
      </c>
      <c r="R134" s="55" t="str">
        <f>$R$24</f>
        <v>Dam safety compliance on pre 1997 capital projects</v>
      </c>
      <c r="S134" s="54" t="str">
        <f>$S$24</f>
        <v>Environmental Planning &amp; Protection</v>
      </c>
      <c r="T134" s="99" t="str">
        <f>$T$24</f>
        <v>Corporate Systems</v>
      </c>
    </row>
    <row r="135" spans="1:20" x14ac:dyDescent="0.25">
      <c r="A135" s="36"/>
      <c r="C135" s="24" t="s">
        <v>58</v>
      </c>
      <c r="D135" s="25" t="s">
        <v>29</v>
      </c>
      <c r="E135" s="37"/>
      <c r="F135" s="127">
        <f>SUM(G135:T135)</f>
        <v>7169.3038984950381</v>
      </c>
      <c r="G135" s="128">
        <f>SUMIF($C$26:$C$38,$A133,G$26:G$38)</f>
        <v>0</v>
      </c>
      <c r="H135" s="128">
        <f>SUMIF($C$26:$C$38,$A133,H$26:H$38)</f>
        <v>0</v>
      </c>
      <c r="I135" s="128">
        <f t="shared" ref="I135:T135" si="72">SUMIF($C$26:$C$38,$A133,I$26:I$38)</f>
        <v>0</v>
      </c>
      <c r="J135" s="128">
        <f t="shared" si="72"/>
        <v>0</v>
      </c>
      <c r="K135" s="128">
        <f t="shared" si="72"/>
        <v>0</v>
      </c>
      <c r="L135" s="128">
        <f t="shared" ref="L135" si="73">SUMIF($C$26:$C$38,$A133,L$26:L$38)</f>
        <v>0</v>
      </c>
      <c r="M135" s="128">
        <f>SUMIF($C$26:$C$38,$A133,M$26:M$38)</f>
        <v>0</v>
      </c>
      <c r="N135" s="128">
        <f t="shared" si="72"/>
        <v>33.119915133971766</v>
      </c>
      <c r="O135" s="128">
        <f>SUMIF($C$26:$C$38,$A133,O$26:O$38)</f>
        <v>3298.5714100739606</v>
      </c>
      <c r="P135" s="128">
        <f t="shared" si="72"/>
        <v>153.10998952777695</v>
      </c>
      <c r="Q135" s="128">
        <f t="shared" si="72"/>
        <v>581.28489356548846</v>
      </c>
      <c r="R135" s="128">
        <f>SUMIF($C$26:$C$38,$A133,R$26:R$38)</f>
        <v>0</v>
      </c>
      <c r="S135" s="128">
        <f t="shared" si="72"/>
        <v>1943.8216366346985</v>
      </c>
      <c r="T135" s="132">
        <f t="shared" si="72"/>
        <v>1159.3960535591416</v>
      </c>
    </row>
    <row r="136" spans="1:20" x14ac:dyDescent="0.25">
      <c r="A136" s="36"/>
      <c r="C136" s="24" t="s">
        <v>53</v>
      </c>
      <c r="D136" s="25" t="s">
        <v>29</v>
      </c>
      <c r="E136" s="26"/>
      <c r="F136" s="129">
        <f>SUM(G136:T136)</f>
        <v>11677.724194242825</v>
      </c>
      <c r="G136" s="128">
        <f>SUMIF($C$41:$C$53,$A133,G$41:G$53)</f>
        <v>0</v>
      </c>
      <c r="H136" s="128">
        <f>SUMIF($C$41:$C$53,$A133,H$41:H$53)</f>
        <v>4522.7292665919813</v>
      </c>
      <c r="I136" s="128">
        <f t="shared" ref="I136:T136" si="74">SUMIF($C$41:$C$53,$A133,I$41:I$53)</f>
        <v>0</v>
      </c>
      <c r="J136" s="128">
        <f t="shared" si="74"/>
        <v>0</v>
      </c>
      <c r="K136" s="128">
        <f t="shared" si="74"/>
        <v>0</v>
      </c>
      <c r="L136" s="128">
        <f t="shared" ref="L136" si="75">SUMIF($C$41:$C$53,$A133,L$41:L$53)</f>
        <v>0</v>
      </c>
      <c r="M136" s="128">
        <f>SUMIF($C$41:$C$53,$A133,M$41:M$53)</f>
        <v>0</v>
      </c>
      <c r="N136" s="128">
        <f t="shared" si="74"/>
        <v>0</v>
      </c>
      <c r="O136" s="128">
        <f>SUMIF($C$41:$C$53,$A133,O$41:O$53)</f>
        <v>2761.4724043202095</v>
      </c>
      <c r="P136" s="128">
        <f t="shared" si="74"/>
        <v>0</v>
      </c>
      <c r="Q136" s="128">
        <f t="shared" si="74"/>
        <v>94.001495502530176</v>
      </c>
      <c r="R136" s="128">
        <f>SUMIF($C$41:$C$53,$A133,R$41:R$53)</f>
        <v>0</v>
      </c>
      <c r="S136" s="128">
        <f t="shared" si="74"/>
        <v>3005.7809586085036</v>
      </c>
      <c r="T136" s="132">
        <f t="shared" si="74"/>
        <v>1293.7400692196006</v>
      </c>
    </row>
    <row r="137" spans="1:20" x14ac:dyDescent="0.25">
      <c r="A137" s="36"/>
      <c r="C137" s="24" t="s">
        <v>54</v>
      </c>
      <c r="D137" s="25" t="s">
        <v>29</v>
      </c>
      <c r="E137" s="26"/>
      <c r="F137" s="129">
        <f>SUM(G137:T137)</f>
        <v>11308.410443079048</v>
      </c>
      <c r="G137" s="128">
        <f>SUMIF($C$56:$C$68,$A133,G$56:G$68)</f>
        <v>0</v>
      </c>
      <c r="H137" s="128">
        <f>SUMIF($C$56:$C$68,$A133,H$56:H$68)</f>
        <v>3206.5742635643669</v>
      </c>
      <c r="I137" s="128">
        <f t="shared" ref="I137:T137" si="76">SUMIF($C$56:$C$68,$A133,I$56:I$68)</f>
        <v>0</v>
      </c>
      <c r="J137" s="128">
        <f t="shared" si="76"/>
        <v>0</v>
      </c>
      <c r="K137" s="128">
        <f t="shared" si="76"/>
        <v>0</v>
      </c>
      <c r="L137" s="128">
        <f t="shared" ref="L137" si="77">SUMIF($C$56:$C$68,$A133,L$56:L$68)</f>
        <v>0</v>
      </c>
      <c r="M137" s="128">
        <f>SUMIF($C$56:$C$68,$A133,M$56:M$68)</f>
        <v>0</v>
      </c>
      <c r="N137" s="128">
        <f t="shared" si="76"/>
        <v>0</v>
      </c>
      <c r="O137" s="128">
        <f>SUMIF($C$56:$C$68,$A133,O$56:O$68)</f>
        <v>893.38851980458378</v>
      </c>
      <c r="P137" s="128">
        <f t="shared" si="76"/>
        <v>293.09433651326714</v>
      </c>
      <c r="Q137" s="128">
        <f t="shared" si="76"/>
        <v>157.90159361722692</v>
      </c>
      <c r="R137" s="128">
        <f>SUMIF($C$56:$C$68,$A133,R$56:R$68)</f>
        <v>0</v>
      </c>
      <c r="S137" s="128">
        <f t="shared" si="76"/>
        <v>5927.1462972863028</v>
      </c>
      <c r="T137" s="132">
        <f t="shared" si="76"/>
        <v>830.30543229330021</v>
      </c>
    </row>
    <row r="138" spans="1:20" ht="12" thickBot="1" x14ac:dyDescent="0.3">
      <c r="A138" s="36"/>
      <c r="C138" s="96" t="s">
        <v>55</v>
      </c>
      <c r="D138" s="97" t="s">
        <v>29</v>
      </c>
      <c r="E138" s="98"/>
      <c r="F138" s="130">
        <f>SUM(G138:T138)</f>
        <v>8936.3510802444707</v>
      </c>
      <c r="G138" s="131">
        <f>SUMIF($C$71:$C$83,$A133,G$71:G$83)</f>
        <v>0</v>
      </c>
      <c r="H138" s="131">
        <f>SUMIF($C$71:$C$83,$A133,H$71:H$83)</f>
        <v>0</v>
      </c>
      <c r="I138" s="131">
        <f t="shared" ref="I138:T138" si="78">SUMIF($C$71:$C$83,$A133,I$71:I$83)</f>
        <v>0</v>
      </c>
      <c r="J138" s="131">
        <f t="shared" si="78"/>
        <v>0</v>
      </c>
      <c r="K138" s="131">
        <f t="shared" si="78"/>
        <v>0</v>
      </c>
      <c r="L138" s="131">
        <f t="shared" ref="L138" si="79">SUMIF($C$71:$C$83,$A133,L$71:L$83)</f>
        <v>0</v>
      </c>
      <c r="M138" s="131">
        <f>SUMIF($C$71:$C$83,$A133,M$71:M$83)</f>
        <v>0</v>
      </c>
      <c r="N138" s="131">
        <f t="shared" si="78"/>
        <v>0</v>
      </c>
      <c r="O138" s="131">
        <f>SUMIF($C$71:$C$83,$A133,O$71:O$83)</f>
        <v>756.81781245247237</v>
      </c>
      <c r="P138" s="131">
        <f t="shared" si="78"/>
        <v>293.09413645010289</v>
      </c>
      <c r="Q138" s="131">
        <f t="shared" si="78"/>
        <v>156.71311031873267</v>
      </c>
      <c r="R138" s="131">
        <f>SUMIF($C$71:$C$83,$A133,R$71:R$83)</f>
        <v>0</v>
      </c>
      <c r="S138" s="131">
        <f t="shared" si="78"/>
        <v>7209.5828242091566</v>
      </c>
      <c r="T138" s="133">
        <f t="shared" si="78"/>
        <v>520.14319681400514</v>
      </c>
    </row>
    <row r="139" spans="1:20" x14ac:dyDescent="0.25">
      <c r="A139" s="36"/>
    </row>
    <row r="140" spans="1:20" x14ac:dyDescent="0.25">
      <c r="A140" s="36"/>
    </row>
    <row r="141" spans="1:20" x14ac:dyDescent="0.25">
      <c r="A141" s="36"/>
    </row>
    <row r="142" spans="1:20" ht="12" thickBot="1" x14ac:dyDescent="0.3">
      <c r="A142" s="36" t="str">
        <f>C32</f>
        <v>Murray</v>
      </c>
      <c r="C142" s="28" t="str">
        <f>"Table 8: "&amp;A142&amp;" capital expenditure ($'000, $2025-26)"</f>
        <v>Table 8: Murray capital expenditure ($'000, $2025-26)</v>
      </c>
    </row>
    <row r="143" spans="1:20" ht="46" x14ac:dyDescent="0.25">
      <c r="A143" s="36"/>
      <c r="C143" s="29"/>
      <c r="D143" s="101"/>
      <c r="E143" s="52"/>
      <c r="F143" s="126" t="str">
        <f>$F$24</f>
        <v>Total</v>
      </c>
      <c r="G143" s="54" t="str">
        <f>$G$24</f>
        <v>Metering and compliance</v>
      </c>
      <c r="H143" s="54" t="str">
        <f>$H$24</f>
        <v>Water Delivery &amp; Other Operations</v>
      </c>
      <c r="I143" s="54" t="str">
        <f>$I$24</f>
        <v>Flood Operations</v>
      </c>
      <c r="J143" s="54" t="str">
        <f>$J$24</f>
        <v>Hydrometric Monitoring</v>
      </c>
      <c r="K143" s="54" t="str">
        <f>$K$24</f>
        <v>Water Quality Monitoring</v>
      </c>
      <c r="L143" s="54" t="str">
        <f>$L$24</f>
        <v>Direct Insurance</v>
      </c>
      <c r="M143" s="54" t="str">
        <f>$M$24</f>
        <v>Corrective Maintenance</v>
      </c>
      <c r="N143" s="54" t="str">
        <f>$N$24</f>
        <v>Routine Maintenance</v>
      </c>
      <c r="O143" s="54" t="str">
        <f>$O$24</f>
        <v>Renewals and Replacement</v>
      </c>
      <c r="P143" s="54" t="str">
        <f>$P$24</f>
        <v>Asset Management Planning</v>
      </c>
      <c r="Q143" s="54" t="str">
        <f>$Q$24</f>
        <v>Dam Safety Compliance</v>
      </c>
      <c r="R143" s="55" t="str">
        <f>$R$24</f>
        <v>Dam safety compliance on pre 1997 capital projects</v>
      </c>
      <c r="S143" s="54" t="str">
        <f>$S$24</f>
        <v>Environmental Planning &amp; Protection</v>
      </c>
      <c r="T143" s="99" t="str">
        <f>$T$24</f>
        <v>Corporate Systems</v>
      </c>
    </row>
    <row r="144" spans="1:20" x14ac:dyDescent="0.25">
      <c r="A144" s="36"/>
      <c r="C144" s="24" t="s">
        <v>58</v>
      </c>
      <c r="D144" s="25" t="s">
        <v>29</v>
      </c>
      <c r="E144" s="37"/>
      <c r="F144" s="127">
        <f>SUM(G144:T144)</f>
        <v>5040.2080108870441</v>
      </c>
      <c r="G144" s="128">
        <f>SUMIF($C$26:$C$38,$A142,G$26:G$38)</f>
        <v>0</v>
      </c>
      <c r="H144" s="128">
        <f>SUMIF($C$26:$C$38,$A142,H$26:H$38)</f>
        <v>0</v>
      </c>
      <c r="I144" s="128">
        <f t="shared" ref="I144:T144" si="80">SUMIF($C$26:$C$38,$A142,I$26:I$38)</f>
        <v>0</v>
      </c>
      <c r="J144" s="128">
        <f t="shared" si="80"/>
        <v>0</v>
      </c>
      <c r="K144" s="128">
        <f t="shared" si="80"/>
        <v>0</v>
      </c>
      <c r="L144" s="128">
        <f t="shared" ref="L144" si="81">SUMIF($C$26:$C$38,$A142,L$26:L$38)</f>
        <v>0</v>
      </c>
      <c r="M144" s="128">
        <f>SUMIF($C$26:$C$38,$A142,M$26:M$38)</f>
        <v>0</v>
      </c>
      <c r="N144" s="128">
        <f t="shared" si="80"/>
        <v>21.068794523263723</v>
      </c>
      <c r="O144" s="128">
        <f>SUMIF($C$26:$C$38,$A142,O$26:O$38)</f>
        <v>1958.0051573091405</v>
      </c>
      <c r="P144" s="128">
        <f t="shared" si="80"/>
        <v>94.552219780619083</v>
      </c>
      <c r="Q144" s="128">
        <f t="shared" si="80"/>
        <v>2077.7227112295964</v>
      </c>
      <c r="R144" s="128">
        <f>SUMIF($C$26:$C$38,$A142,R$26:R$38)</f>
        <v>0</v>
      </c>
      <c r="S144" s="128">
        <f t="shared" si="80"/>
        <v>0</v>
      </c>
      <c r="T144" s="132">
        <f t="shared" si="80"/>
        <v>888.85912804442421</v>
      </c>
    </row>
    <row r="145" spans="1:20" x14ac:dyDescent="0.25">
      <c r="A145" s="36"/>
      <c r="C145" s="24" t="s">
        <v>53</v>
      </c>
      <c r="D145" s="25" t="s">
        <v>29</v>
      </c>
      <c r="E145" s="26"/>
      <c r="F145" s="129">
        <f>SUM(G145:T145)</f>
        <v>12190.528137081128</v>
      </c>
      <c r="G145" s="128">
        <f>SUMIF($C$41:$C$53,$A142,G$41:G$53)</f>
        <v>0</v>
      </c>
      <c r="H145" s="128">
        <f>SUMIF($C$41:$C$53,$A142,H$41:H$53)</f>
        <v>0</v>
      </c>
      <c r="I145" s="128">
        <f t="shared" ref="I145:T145" si="82">SUMIF($C$41:$C$53,$A142,I$41:I$53)</f>
        <v>0</v>
      </c>
      <c r="J145" s="128">
        <f t="shared" si="82"/>
        <v>0</v>
      </c>
      <c r="K145" s="128">
        <f t="shared" si="82"/>
        <v>0</v>
      </c>
      <c r="L145" s="128">
        <f t="shared" ref="L145" si="83">SUMIF($C$41:$C$53,$A142,L$41:L$53)</f>
        <v>0</v>
      </c>
      <c r="M145" s="128">
        <f>SUMIF($C$41:$C$53,$A142,M$41:M$53)</f>
        <v>0</v>
      </c>
      <c r="N145" s="128">
        <f t="shared" si="82"/>
        <v>0</v>
      </c>
      <c r="O145" s="128">
        <f>SUMIF($C$41:$C$53,$A142,O$41:O$53)</f>
        <v>2229.4101578788609</v>
      </c>
      <c r="P145" s="128">
        <f t="shared" si="82"/>
        <v>0</v>
      </c>
      <c r="Q145" s="128">
        <f t="shared" si="82"/>
        <v>8839.8230808762492</v>
      </c>
      <c r="R145" s="128">
        <f>SUMIF($C$41:$C$53,$A142,R$41:R$53)</f>
        <v>0</v>
      </c>
      <c r="S145" s="128">
        <f t="shared" si="82"/>
        <v>0</v>
      </c>
      <c r="T145" s="132">
        <f t="shared" si="82"/>
        <v>1121.2948983260176</v>
      </c>
    </row>
    <row r="146" spans="1:20" x14ac:dyDescent="0.25">
      <c r="A146" s="36"/>
      <c r="C146" s="24" t="s">
        <v>54</v>
      </c>
      <c r="D146" s="25" t="s">
        <v>29</v>
      </c>
      <c r="E146" s="26"/>
      <c r="F146" s="129">
        <f>SUM(G146:T146)</f>
        <v>2899.8295854538023</v>
      </c>
      <c r="G146" s="128">
        <f>SUMIF($C$56:$C$68,$A142,G$56:G$68)</f>
        <v>0</v>
      </c>
      <c r="H146" s="128">
        <f>SUMIF($C$56:$C$68,$A142,H$56:H$68)</f>
        <v>0</v>
      </c>
      <c r="I146" s="128">
        <f t="shared" ref="I146:T146" si="84">SUMIF($C$56:$C$68,$A142,I$56:I$68)</f>
        <v>0</v>
      </c>
      <c r="J146" s="128">
        <f t="shared" si="84"/>
        <v>0</v>
      </c>
      <c r="K146" s="128">
        <f t="shared" si="84"/>
        <v>0</v>
      </c>
      <c r="L146" s="128">
        <f t="shared" ref="L146" si="85">SUMIF($C$56:$C$68,$A142,L$56:L$68)</f>
        <v>0</v>
      </c>
      <c r="M146" s="128">
        <f>SUMIF($C$56:$C$68,$A142,M$56:M$68)</f>
        <v>0</v>
      </c>
      <c r="N146" s="128">
        <f t="shared" si="84"/>
        <v>0</v>
      </c>
      <c r="O146" s="128">
        <f>SUMIF($C$56:$C$68,$A142,O$56:O$68)</f>
        <v>1867.5788088419906</v>
      </c>
      <c r="P146" s="128">
        <f t="shared" si="84"/>
        <v>40.249073780389203</v>
      </c>
      <c r="Q146" s="128">
        <f t="shared" si="84"/>
        <v>90.153159011474898</v>
      </c>
      <c r="R146" s="128">
        <f>SUMIF($C$56:$C$68,$A142,R$56:R$68)</f>
        <v>0</v>
      </c>
      <c r="S146" s="128">
        <f t="shared" si="84"/>
        <v>0</v>
      </c>
      <c r="T146" s="132">
        <f t="shared" si="84"/>
        <v>901.84854381994774</v>
      </c>
    </row>
    <row r="147" spans="1:20" ht="12" thickBot="1" x14ac:dyDescent="0.3">
      <c r="A147" s="36"/>
      <c r="C147" s="96" t="s">
        <v>55</v>
      </c>
      <c r="D147" s="97" t="s">
        <v>29</v>
      </c>
      <c r="E147" s="98"/>
      <c r="F147" s="130">
        <f>SUM(G147:T147)</f>
        <v>3265.7406942891739</v>
      </c>
      <c r="G147" s="131">
        <f>SUMIF($C$71:$C$83,$A142,G$71:G$83)</f>
        <v>0</v>
      </c>
      <c r="H147" s="131">
        <f>SUMIF($C$71:$C$83,$A142,H$71:H$83)</f>
        <v>0</v>
      </c>
      <c r="I147" s="131">
        <f t="shared" ref="I147:T147" si="86">SUMIF($C$71:$C$83,$A142,I$71:I$83)</f>
        <v>0</v>
      </c>
      <c r="J147" s="131">
        <f t="shared" si="86"/>
        <v>0</v>
      </c>
      <c r="K147" s="131">
        <f t="shared" si="86"/>
        <v>0</v>
      </c>
      <c r="L147" s="131">
        <f t="shared" ref="L147" si="87">SUMIF($C$71:$C$83,$A142,L$71:L$83)</f>
        <v>0</v>
      </c>
      <c r="M147" s="131">
        <f>SUMIF($C$71:$C$83,$A142,M$71:M$83)</f>
        <v>0</v>
      </c>
      <c r="N147" s="131">
        <f t="shared" si="86"/>
        <v>0</v>
      </c>
      <c r="O147" s="131">
        <f>SUMIF($C$71:$C$83,$A142,O$71:O$83)</f>
        <v>2701.3445166435176</v>
      </c>
      <c r="P147" s="131">
        <f t="shared" si="86"/>
        <v>40.249046306787513</v>
      </c>
      <c r="Q147" s="131">
        <f t="shared" si="86"/>
        <v>89.525933744224929</v>
      </c>
      <c r="R147" s="131">
        <f>SUMIF($C$71:$C$83,$A142,R$71:R$83)</f>
        <v>0</v>
      </c>
      <c r="S147" s="131">
        <f t="shared" si="86"/>
        <v>0</v>
      </c>
      <c r="T147" s="133">
        <f t="shared" si="86"/>
        <v>434.62119759464406</v>
      </c>
    </row>
    <row r="148" spans="1:20" x14ac:dyDescent="0.25">
      <c r="A148" s="36"/>
    </row>
    <row r="149" spans="1:20" x14ac:dyDescent="0.25">
      <c r="A149" s="36"/>
    </row>
    <row r="150" spans="1:20" x14ac:dyDescent="0.25">
      <c r="A150" s="36"/>
    </row>
    <row r="151" spans="1:20" ht="12" thickBot="1" x14ac:dyDescent="0.3">
      <c r="A151" s="36" t="str">
        <f>C33</f>
        <v>Murrumbidgee</v>
      </c>
      <c r="C151" s="28" t="str">
        <f>"Table 9: "&amp;A151&amp;" capital expenditure ($'000, $2025-26)"</f>
        <v>Table 9: Murrumbidgee capital expenditure ($'000, $2025-26)</v>
      </c>
    </row>
    <row r="152" spans="1:20" ht="46" x14ac:dyDescent="0.25">
      <c r="A152" s="36"/>
      <c r="C152" s="29"/>
      <c r="D152" s="101"/>
      <c r="E152" s="52"/>
      <c r="F152" s="126" t="str">
        <f>$F$24</f>
        <v>Total</v>
      </c>
      <c r="G152" s="54" t="str">
        <f>$G$24</f>
        <v>Metering and compliance</v>
      </c>
      <c r="H152" s="54" t="str">
        <f>$H$24</f>
        <v>Water Delivery &amp; Other Operations</v>
      </c>
      <c r="I152" s="54" t="str">
        <f>$I$24</f>
        <v>Flood Operations</v>
      </c>
      <c r="J152" s="54" t="str">
        <f>$J$24</f>
        <v>Hydrometric Monitoring</v>
      </c>
      <c r="K152" s="54" t="str">
        <f>$K$24</f>
        <v>Water Quality Monitoring</v>
      </c>
      <c r="L152" s="54" t="str">
        <f>$L$24</f>
        <v>Direct Insurance</v>
      </c>
      <c r="M152" s="54" t="str">
        <f>$M$24</f>
        <v>Corrective Maintenance</v>
      </c>
      <c r="N152" s="54" t="str">
        <f>$N$24</f>
        <v>Routine Maintenance</v>
      </c>
      <c r="O152" s="54" t="str">
        <f>$O$24</f>
        <v>Renewals and Replacement</v>
      </c>
      <c r="P152" s="54" t="str">
        <f>$P$24</f>
        <v>Asset Management Planning</v>
      </c>
      <c r="Q152" s="54" t="str">
        <f>$Q$24</f>
        <v>Dam Safety Compliance</v>
      </c>
      <c r="R152" s="55" t="str">
        <f>$R$24</f>
        <v>Dam safety compliance on pre 1997 capital projects</v>
      </c>
      <c r="S152" s="54" t="str">
        <f>$S$24</f>
        <v>Environmental Planning &amp; Protection</v>
      </c>
      <c r="T152" s="99" t="str">
        <f>$T$24</f>
        <v>Corporate Systems</v>
      </c>
    </row>
    <row r="153" spans="1:20" x14ac:dyDescent="0.25">
      <c r="A153" s="36"/>
      <c r="C153" s="24" t="s">
        <v>58</v>
      </c>
      <c r="D153" s="25" t="s">
        <v>29</v>
      </c>
      <c r="E153" s="37"/>
      <c r="F153" s="127">
        <f>SUM(G153:T153)</f>
        <v>8529.2640850797925</v>
      </c>
      <c r="G153" s="128">
        <f>SUMIF($C$26:$C$38,$A151,G$26:G$38)</f>
        <v>0</v>
      </c>
      <c r="H153" s="128">
        <f>SUMIF($C$26:$C$38,$A151,H$26:H$38)</f>
        <v>0</v>
      </c>
      <c r="I153" s="128">
        <f t="shared" ref="I153:T153" si="88">SUMIF($C$26:$C$38,$A151,I$26:I$38)</f>
        <v>0</v>
      </c>
      <c r="J153" s="128">
        <f t="shared" si="88"/>
        <v>0</v>
      </c>
      <c r="K153" s="128">
        <f t="shared" si="88"/>
        <v>0</v>
      </c>
      <c r="L153" s="128">
        <f t="shared" ref="L153" si="89">SUMIF($C$26:$C$38,$A151,L$26:L$38)</f>
        <v>0</v>
      </c>
      <c r="M153" s="128">
        <f>SUMIF($C$26:$C$38,$A151,M$26:M$38)</f>
        <v>0</v>
      </c>
      <c r="N153" s="128">
        <f t="shared" si="88"/>
        <v>49.492550952291104</v>
      </c>
      <c r="O153" s="128">
        <f>SUMIF($C$26:$C$38,$A151,O$26:O$38)</f>
        <v>5729.4557963246834</v>
      </c>
      <c r="P153" s="128">
        <f t="shared" si="88"/>
        <v>228.92779582948609</v>
      </c>
      <c r="Q153" s="128">
        <f t="shared" si="88"/>
        <v>1012.3776437132173</v>
      </c>
      <c r="R153" s="128">
        <f>SUMIF($C$26:$C$38,$A151,R$26:R$38)</f>
        <v>0</v>
      </c>
      <c r="S153" s="128">
        <f t="shared" si="88"/>
        <v>29.841095168134196</v>
      </c>
      <c r="T153" s="132">
        <f t="shared" si="88"/>
        <v>1479.1692030919799</v>
      </c>
    </row>
    <row r="154" spans="1:20" x14ac:dyDescent="0.25">
      <c r="A154" s="36"/>
      <c r="C154" s="24" t="s">
        <v>53</v>
      </c>
      <c r="D154" s="25" t="s">
        <v>29</v>
      </c>
      <c r="E154" s="26"/>
      <c r="F154" s="129">
        <f>SUM(G154:T154)</f>
        <v>8180.0014717829599</v>
      </c>
      <c r="G154" s="128">
        <f>SUMIF($C$41:$C$53,$A151,G$41:G$53)</f>
        <v>0</v>
      </c>
      <c r="H154" s="128">
        <f>SUMIF($C$41:$C$53,$A151,H$41:H$53)</f>
        <v>267.47646593809958</v>
      </c>
      <c r="I154" s="128">
        <f t="shared" ref="I154:T154" si="90">SUMIF($C$41:$C$53,$A151,I$41:I$53)</f>
        <v>0</v>
      </c>
      <c r="J154" s="128">
        <f t="shared" si="90"/>
        <v>0</v>
      </c>
      <c r="K154" s="128">
        <f t="shared" si="90"/>
        <v>0</v>
      </c>
      <c r="L154" s="128">
        <f t="shared" ref="L154" si="91">SUMIF($C$41:$C$53,$A151,L$41:L$53)</f>
        <v>0</v>
      </c>
      <c r="M154" s="128">
        <f>SUMIF($C$41:$C$53,$A151,M$41:M$53)</f>
        <v>0</v>
      </c>
      <c r="N154" s="128">
        <f t="shared" si="90"/>
        <v>0</v>
      </c>
      <c r="O154" s="128">
        <f>SUMIF($C$41:$C$53,$A151,O$41:O$53)</f>
        <v>5525.9793112299712</v>
      </c>
      <c r="P154" s="128">
        <f t="shared" si="90"/>
        <v>0</v>
      </c>
      <c r="Q154" s="128">
        <f t="shared" si="90"/>
        <v>145.03080663198938</v>
      </c>
      <c r="R154" s="128">
        <f>SUMIF($C$41:$C$53,$A151,R$41:R$53)</f>
        <v>0</v>
      </c>
      <c r="S154" s="128">
        <f t="shared" si="90"/>
        <v>532.41173582570389</v>
      </c>
      <c r="T154" s="132">
        <f t="shared" si="90"/>
        <v>1709.1031521571954</v>
      </c>
    </row>
    <row r="155" spans="1:20" x14ac:dyDescent="0.25">
      <c r="A155" s="36"/>
      <c r="C155" s="24" t="s">
        <v>54</v>
      </c>
      <c r="D155" s="25" t="s">
        <v>29</v>
      </c>
      <c r="E155" s="26"/>
      <c r="F155" s="129">
        <f>SUM(G155:T155)</f>
        <v>6967.3844161383849</v>
      </c>
      <c r="G155" s="128">
        <f>SUMIF($C$56:$C$68,$A151,G$56:G$68)</f>
        <v>0</v>
      </c>
      <c r="H155" s="128">
        <f>SUMIF($C$56:$C$68,$A151,H$56:H$68)</f>
        <v>0</v>
      </c>
      <c r="I155" s="128">
        <f t="shared" ref="I155:T155" si="92">SUMIF($C$56:$C$68,$A151,I$56:I$68)</f>
        <v>0</v>
      </c>
      <c r="J155" s="128">
        <f t="shared" si="92"/>
        <v>0</v>
      </c>
      <c r="K155" s="128">
        <f t="shared" si="92"/>
        <v>0</v>
      </c>
      <c r="L155" s="128">
        <f t="shared" ref="L155" si="93">SUMIF($C$56:$C$68,$A151,L$56:L$68)</f>
        <v>0</v>
      </c>
      <c r="M155" s="128">
        <f>SUMIF($C$56:$C$68,$A151,M$56:M$68)</f>
        <v>0</v>
      </c>
      <c r="N155" s="128">
        <f t="shared" si="92"/>
        <v>0</v>
      </c>
      <c r="O155" s="128">
        <f>SUMIF($C$56:$C$68,$A151,O$56:O$68)</f>
        <v>4583.039492211582</v>
      </c>
      <c r="P155" s="128">
        <f t="shared" si="92"/>
        <v>239.99078850280449</v>
      </c>
      <c r="Q155" s="128">
        <f t="shared" si="92"/>
        <v>487.33855644059793</v>
      </c>
      <c r="R155" s="128">
        <f>SUMIF($C$56:$C$68,$A151,R$56:R$68)</f>
        <v>0</v>
      </c>
      <c r="S155" s="128">
        <f t="shared" si="92"/>
        <v>708.82759564166747</v>
      </c>
      <c r="T155" s="132">
        <f t="shared" si="92"/>
        <v>948.18798334173323</v>
      </c>
    </row>
    <row r="156" spans="1:20" ht="12" thickBot="1" x14ac:dyDescent="0.3">
      <c r="A156" s="36"/>
      <c r="C156" s="96" t="s">
        <v>55</v>
      </c>
      <c r="D156" s="97" t="s">
        <v>29</v>
      </c>
      <c r="E156" s="98"/>
      <c r="F156" s="130">
        <f>SUM(G156:T156)</f>
        <v>15796.325378357718</v>
      </c>
      <c r="G156" s="131">
        <f>SUMIF($C$71:$C$83,$A151,G$71:G$83)</f>
        <v>0</v>
      </c>
      <c r="H156" s="131">
        <f>SUMIF($C$71:$C$83,$A151,H$71:H$83)</f>
        <v>0</v>
      </c>
      <c r="I156" s="131">
        <f t="shared" ref="I156:T156" si="94">SUMIF($C$71:$C$83,$A151,I$71:I$83)</f>
        <v>0</v>
      </c>
      <c r="J156" s="131">
        <f t="shared" si="94"/>
        <v>0</v>
      </c>
      <c r="K156" s="131">
        <f t="shared" si="94"/>
        <v>0</v>
      </c>
      <c r="L156" s="131">
        <f t="shared" ref="L156" si="95">SUMIF($C$71:$C$83,$A151,L$71:L$83)</f>
        <v>0</v>
      </c>
      <c r="M156" s="131">
        <f>SUMIF($C$71:$C$83,$A151,M$71:M$83)</f>
        <v>0</v>
      </c>
      <c r="N156" s="131">
        <f t="shared" si="94"/>
        <v>0</v>
      </c>
      <c r="O156" s="131">
        <f>SUMIF($C$71:$C$83,$A151,O$71:O$83)</f>
        <v>13998.805224082502</v>
      </c>
      <c r="P156" s="131">
        <f t="shared" si="94"/>
        <v>239.99062468757316</v>
      </c>
      <c r="Q156" s="131">
        <f t="shared" si="94"/>
        <v>483.67361668687352</v>
      </c>
      <c r="R156" s="131">
        <f>SUMIF($C$71:$C$83,$A151,R$71:R$83)</f>
        <v>0</v>
      </c>
      <c r="S156" s="131">
        <f t="shared" si="94"/>
        <v>391.36621396797506</v>
      </c>
      <c r="T156" s="133">
        <f t="shared" si="94"/>
        <v>682.48969893279559</v>
      </c>
    </row>
    <row r="157" spans="1:20" x14ac:dyDescent="0.25">
      <c r="A157" s="36"/>
    </row>
    <row r="158" spans="1:20" x14ac:dyDescent="0.25">
      <c r="A158" s="36"/>
    </row>
    <row r="159" spans="1:20" x14ac:dyDescent="0.25">
      <c r="A159" s="36"/>
    </row>
    <row r="160" spans="1:20" ht="12" thickBot="1" x14ac:dyDescent="0.3">
      <c r="A160" s="36" t="str">
        <f>C34</f>
        <v>Lowbidgee</v>
      </c>
      <c r="C160" s="28" t="str">
        <f>"Table 10: "&amp;A160&amp;" capital expenditure ($'000, $2025-26)"</f>
        <v>Table 10: Lowbidgee capital expenditure ($'000, $2025-26)</v>
      </c>
    </row>
    <row r="161" spans="1:20" ht="46" x14ac:dyDescent="0.25">
      <c r="A161" s="36"/>
      <c r="C161" s="29"/>
      <c r="D161" s="101"/>
      <c r="E161" s="52"/>
      <c r="F161" s="126" t="str">
        <f>$F$24</f>
        <v>Total</v>
      </c>
      <c r="G161" s="54" t="str">
        <f>$G$24</f>
        <v>Metering and compliance</v>
      </c>
      <c r="H161" s="54" t="str">
        <f>$H$24</f>
        <v>Water Delivery &amp; Other Operations</v>
      </c>
      <c r="I161" s="54" t="str">
        <f>$I$24</f>
        <v>Flood Operations</v>
      </c>
      <c r="J161" s="54" t="str">
        <f>$J$24</f>
        <v>Hydrometric Monitoring</v>
      </c>
      <c r="K161" s="54" t="str">
        <f>$K$24</f>
        <v>Water Quality Monitoring</v>
      </c>
      <c r="L161" s="54" t="str">
        <f>$L$24</f>
        <v>Direct Insurance</v>
      </c>
      <c r="M161" s="54" t="str">
        <f>$M$24</f>
        <v>Corrective Maintenance</v>
      </c>
      <c r="N161" s="54" t="str">
        <f>$N$24</f>
        <v>Routine Maintenance</v>
      </c>
      <c r="O161" s="54" t="str">
        <f>$O$24</f>
        <v>Renewals and Replacement</v>
      </c>
      <c r="P161" s="54" t="str">
        <f>$P$24</f>
        <v>Asset Management Planning</v>
      </c>
      <c r="Q161" s="54" t="str">
        <f>$Q$24</f>
        <v>Dam Safety Compliance</v>
      </c>
      <c r="R161" s="55" t="str">
        <f>$R$24</f>
        <v>Dam safety compliance on pre 1997 capital projects</v>
      </c>
      <c r="S161" s="54" t="str">
        <f>$S$24</f>
        <v>Environmental Planning &amp; Protection</v>
      </c>
      <c r="T161" s="99" t="str">
        <f>$T$24</f>
        <v>Corporate Systems</v>
      </c>
    </row>
    <row r="162" spans="1:20" x14ac:dyDescent="0.25">
      <c r="A162" s="36"/>
      <c r="C162" s="24" t="s">
        <v>58</v>
      </c>
      <c r="D162" s="25" t="s">
        <v>29</v>
      </c>
      <c r="E162" s="37"/>
      <c r="F162" s="127">
        <f>SUM(G162:T162)</f>
        <v>1659.0776509421751</v>
      </c>
      <c r="G162" s="128">
        <f>SUMIF($C$26:$C$38,$A160,G$26:G$38)</f>
        <v>0</v>
      </c>
      <c r="H162" s="128">
        <f>SUMIF($C$26:$C$38,$A160,H$26:H$38)</f>
        <v>0</v>
      </c>
      <c r="I162" s="128">
        <f t="shared" ref="I162:T162" si="96">SUMIF($C$26:$C$38,$A160,I$26:I$38)</f>
        <v>0</v>
      </c>
      <c r="J162" s="128">
        <f t="shared" si="96"/>
        <v>0</v>
      </c>
      <c r="K162" s="128">
        <f t="shared" si="96"/>
        <v>0</v>
      </c>
      <c r="L162" s="128">
        <f t="shared" ref="L162" si="97">SUMIF($C$26:$C$38,$A160,L$26:L$38)</f>
        <v>0</v>
      </c>
      <c r="M162" s="128">
        <f>SUMIF($C$26:$C$38,$A160,M$26:M$38)</f>
        <v>0</v>
      </c>
      <c r="N162" s="128">
        <f t="shared" si="96"/>
        <v>3.0652672919904878</v>
      </c>
      <c r="O162" s="128">
        <f>SUMIF($C$26:$C$38,$A160,O$26:O$38)</f>
        <v>1571.9917993293743</v>
      </c>
      <c r="P162" s="128">
        <f t="shared" si="96"/>
        <v>0</v>
      </c>
      <c r="Q162" s="128">
        <f t="shared" si="96"/>
        <v>0</v>
      </c>
      <c r="R162" s="128">
        <f>SUMIF($C$26:$C$38,$A160,R$26:R$38)</f>
        <v>0</v>
      </c>
      <c r="S162" s="128">
        <f t="shared" si="96"/>
        <v>0</v>
      </c>
      <c r="T162" s="132">
        <f t="shared" si="96"/>
        <v>84.020584320810215</v>
      </c>
    </row>
    <row r="163" spans="1:20" x14ac:dyDescent="0.25">
      <c r="A163" s="36"/>
      <c r="C163" s="24" t="s">
        <v>53</v>
      </c>
      <c r="D163" s="25" t="s">
        <v>29</v>
      </c>
      <c r="E163" s="26"/>
      <c r="F163" s="129">
        <f>SUM(G163:T163)</f>
        <v>1226.3152944577307</v>
      </c>
      <c r="G163" s="128">
        <f>SUMIF($C$41:$C$53,$A160,G$41:G$53)</f>
        <v>0</v>
      </c>
      <c r="H163" s="128">
        <f>SUMIF($C$41:$C$53,$A160,H$41:H$53)</f>
        <v>0</v>
      </c>
      <c r="I163" s="128">
        <f t="shared" ref="I163:T163" si="98">SUMIF($C$41:$C$53,$A160,I$41:I$53)</f>
        <v>0</v>
      </c>
      <c r="J163" s="128">
        <f t="shared" si="98"/>
        <v>0</v>
      </c>
      <c r="K163" s="128">
        <f t="shared" si="98"/>
        <v>0</v>
      </c>
      <c r="L163" s="128">
        <f t="shared" ref="L163" si="99">SUMIF($C$41:$C$53,$A160,L$41:L$53)</f>
        <v>0</v>
      </c>
      <c r="M163" s="128">
        <f>SUMIF($C$41:$C$53,$A160,M$41:M$53)</f>
        <v>0</v>
      </c>
      <c r="N163" s="128">
        <f t="shared" si="98"/>
        <v>0</v>
      </c>
      <c r="O163" s="128">
        <f>SUMIF($C$41:$C$53,$A160,O$41:O$53)</f>
        <v>712.89800109859027</v>
      </c>
      <c r="P163" s="128">
        <f t="shared" si="98"/>
        <v>0</v>
      </c>
      <c r="Q163" s="128">
        <f t="shared" si="98"/>
        <v>0</v>
      </c>
      <c r="R163" s="128">
        <f>SUMIF($C$41:$C$53,$A160,R$41:R$53)</f>
        <v>0</v>
      </c>
      <c r="S163" s="128">
        <f t="shared" si="98"/>
        <v>0</v>
      </c>
      <c r="T163" s="132">
        <f t="shared" si="98"/>
        <v>513.41729335914044</v>
      </c>
    </row>
    <row r="164" spans="1:20" x14ac:dyDescent="0.25">
      <c r="A164" s="36"/>
      <c r="C164" s="24" t="s">
        <v>54</v>
      </c>
      <c r="D164" s="25" t="s">
        <v>29</v>
      </c>
      <c r="E164" s="26"/>
      <c r="F164" s="129">
        <f>SUM(G164:T164)</f>
        <v>2811.5685273407216</v>
      </c>
      <c r="G164" s="128">
        <f>SUMIF($C$56:$C$68,$A160,G$56:G$68)</f>
        <v>0</v>
      </c>
      <c r="H164" s="128">
        <f>SUMIF($C$56:$C$68,$A160,H$56:H$68)</f>
        <v>0</v>
      </c>
      <c r="I164" s="128">
        <f t="shared" ref="I164:T164" si="100">SUMIF($C$56:$C$68,$A160,I$56:I$68)</f>
        <v>0</v>
      </c>
      <c r="J164" s="128">
        <f t="shared" si="100"/>
        <v>0</v>
      </c>
      <c r="K164" s="128">
        <f t="shared" si="100"/>
        <v>0</v>
      </c>
      <c r="L164" s="128">
        <f t="shared" ref="L164" si="101">SUMIF($C$56:$C$68,$A160,L$56:L$68)</f>
        <v>0</v>
      </c>
      <c r="M164" s="128">
        <f>SUMIF($C$56:$C$68,$A160,M$56:M$68)</f>
        <v>0</v>
      </c>
      <c r="N164" s="128">
        <f t="shared" si="100"/>
        <v>0</v>
      </c>
      <c r="O164" s="128">
        <f>SUMIF($C$56:$C$68,$A160,O$56:O$68)</f>
        <v>2248.4571058782881</v>
      </c>
      <c r="P164" s="128">
        <f t="shared" si="100"/>
        <v>21.376129752816187</v>
      </c>
      <c r="Q164" s="128">
        <f t="shared" si="100"/>
        <v>0</v>
      </c>
      <c r="R164" s="128">
        <f>SUMIF($C$56:$C$68,$A160,R$56:R$68)</f>
        <v>0</v>
      </c>
      <c r="S164" s="128">
        <f t="shared" si="100"/>
        <v>0</v>
      </c>
      <c r="T164" s="132">
        <f t="shared" si="100"/>
        <v>541.73529170961717</v>
      </c>
    </row>
    <row r="165" spans="1:20" ht="12" thickBot="1" x14ac:dyDescent="0.3">
      <c r="A165" s="36"/>
      <c r="C165" s="96" t="s">
        <v>55</v>
      </c>
      <c r="D165" s="97" t="s">
        <v>29</v>
      </c>
      <c r="E165" s="98"/>
      <c r="F165" s="130">
        <f>SUM(G165:T165)</f>
        <v>1434.4069636996676</v>
      </c>
      <c r="G165" s="131">
        <f>SUMIF($C$71:$C$83,$A160,G$71:G$83)</f>
        <v>0</v>
      </c>
      <c r="H165" s="131">
        <f>SUMIF($C$71:$C$83,$A160,H$71:H$83)</f>
        <v>0</v>
      </c>
      <c r="I165" s="131">
        <f t="shared" ref="I165:T165" si="102">SUMIF($C$71:$C$83,$A160,I$71:I$83)</f>
        <v>0</v>
      </c>
      <c r="J165" s="131">
        <f t="shared" si="102"/>
        <v>0</v>
      </c>
      <c r="K165" s="131">
        <f t="shared" si="102"/>
        <v>0</v>
      </c>
      <c r="L165" s="131">
        <f t="shared" ref="L165" si="103">SUMIF($C$71:$C$83,$A160,L$71:L$83)</f>
        <v>0</v>
      </c>
      <c r="M165" s="131">
        <f>SUMIF($C$71:$C$83,$A160,M$71:M$83)</f>
        <v>0</v>
      </c>
      <c r="N165" s="131">
        <f t="shared" si="102"/>
        <v>0</v>
      </c>
      <c r="O165" s="131">
        <f>SUMIF($C$71:$C$83,$A160,O$71:O$83)</f>
        <v>1216.2869133355669</v>
      </c>
      <c r="P165" s="131">
        <f t="shared" si="102"/>
        <v>21.376115161690993</v>
      </c>
      <c r="Q165" s="131">
        <f t="shared" si="102"/>
        <v>0</v>
      </c>
      <c r="R165" s="131">
        <f>SUMIF($C$71:$C$83,$A160,R$71:R$83)</f>
        <v>0</v>
      </c>
      <c r="S165" s="131">
        <f t="shared" si="102"/>
        <v>0</v>
      </c>
      <c r="T165" s="133">
        <f t="shared" si="102"/>
        <v>196.74393520240986</v>
      </c>
    </row>
    <row r="166" spans="1:20" x14ac:dyDescent="0.25">
      <c r="A166" s="36"/>
    </row>
    <row r="167" spans="1:20" x14ac:dyDescent="0.25">
      <c r="A167" s="36"/>
    </row>
    <row r="168" spans="1:20" x14ac:dyDescent="0.25">
      <c r="A168" s="36"/>
    </row>
    <row r="169" spans="1:20" ht="12" thickBot="1" x14ac:dyDescent="0.3">
      <c r="A169" s="36" t="str">
        <f>C35</f>
        <v>North Coast</v>
      </c>
      <c r="C169" s="28" t="str">
        <f>"Table 11: "&amp;A169&amp;" capital expenditure ($'000, $2025-26)"</f>
        <v>Table 11: North Coast capital expenditure ($'000, $2025-26)</v>
      </c>
    </row>
    <row r="170" spans="1:20" ht="46" x14ac:dyDescent="0.25">
      <c r="A170" s="36"/>
      <c r="C170" s="29"/>
      <c r="D170" s="101"/>
      <c r="E170" s="52"/>
      <c r="F170" s="126" t="str">
        <f>$F$24</f>
        <v>Total</v>
      </c>
      <c r="G170" s="54" t="str">
        <f>$G$24</f>
        <v>Metering and compliance</v>
      </c>
      <c r="H170" s="54" t="str">
        <f>$H$24</f>
        <v>Water Delivery &amp; Other Operations</v>
      </c>
      <c r="I170" s="54" t="str">
        <f>$I$24</f>
        <v>Flood Operations</v>
      </c>
      <c r="J170" s="54" t="str">
        <f>$J$24</f>
        <v>Hydrometric Monitoring</v>
      </c>
      <c r="K170" s="54" t="str">
        <f>$K$24</f>
        <v>Water Quality Monitoring</v>
      </c>
      <c r="L170" s="54" t="str">
        <f>$L$24</f>
        <v>Direct Insurance</v>
      </c>
      <c r="M170" s="54" t="str">
        <f>$M$24</f>
        <v>Corrective Maintenance</v>
      </c>
      <c r="N170" s="54" t="str">
        <f>$N$24</f>
        <v>Routine Maintenance</v>
      </c>
      <c r="O170" s="54" t="str">
        <f>$O$24</f>
        <v>Renewals and Replacement</v>
      </c>
      <c r="P170" s="54" t="str">
        <f>$P$24</f>
        <v>Asset Management Planning</v>
      </c>
      <c r="Q170" s="54" t="str">
        <f>$Q$24</f>
        <v>Dam Safety Compliance</v>
      </c>
      <c r="R170" s="55" t="str">
        <f>$R$24</f>
        <v>Dam safety compliance on pre 1997 capital projects</v>
      </c>
      <c r="S170" s="54" t="str">
        <f>$S$24</f>
        <v>Environmental Planning &amp; Protection</v>
      </c>
      <c r="T170" s="99" t="str">
        <f>$T$24</f>
        <v>Corporate Systems</v>
      </c>
    </row>
    <row r="171" spans="1:20" x14ac:dyDescent="0.25">
      <c r="A171" s="36"/>
      <c r="C171" s="24" t="s">
        <v>58</v>
      </c>
      <c r="D171" s="25" t="s">
        <v>29</v>
      </c>
      <c r="E171" s="37"/>
      <c r="F171" s="127">
        <f>SUM(G171:T171)</f>
        <v>460.01887307667869</v>
      </c>
      <c r="G171" s="128">
        <f>SUMIF($C$26:$C$38,$A169,G$26:G$38)</f>
        <v>0</v>
      </c>
      <c r="H171" s="128">
        <f>SUMIF($C$26:$C$38,$A169,H$26:H$38)</f>
        <v>0</v>
      </c>
      <c r="I171" s="128">
        <f t="shared" ref="I171:T171" si="104">SUMIF($C$26:$C$38,$A169,I$26:I$38)</f>
        <v>0</v>
      </c>
      <c r="J171" s="128">
        <f t="shared" si="104"/>
        <v>0</v>
      </c>
      <c r="K171" s="128">
        <f t="shared" si="104"/>
        <v>0</v>
      </c>
      <c r="L171" s="128">
        <f t="shared" ref="L171" si="105">SUMIF($C$26:$C$38,$A169,L$26:L$38)</f>
        <v>0</v>
      </c>
      <c r="M171" s="128">
        <f>SUMIF($C$26:$C$38,$A169,M$26:M$38)</f>
        <v>0</v>
      </c>
      <c r="N171" s="128">
        <f t="shared" si="104"/>
        <v>5.3371145012790207</v>
      </c>
      <c r="O171" s="128">
        <f>SUMIF($C$26:$C$38,$A169,O$26:O$38)</f>
        <v>172.08495441571802</v>
      </c>
      <c r="P171" s="128">
        <f t="shared" si="104"/>
        <v>23.387840211057284</v>
      </c>
      <c r="Q171" s="128">
        <f t="shared" si="104"/>
        <v>48.397236418019986</v>
      </c>
      <c r="R171" s="128">
        <f>SUMIF($C$26:$C$38,$A169,R$26:R$38)</f>
        <v>0</v>
      </c>
      <c r="S171" s="128">
        <f t="shared" si="104"/>
        <v>29.841095168134196</v>
      </c>
      <c r="T171" s="132">
        <f t="shared" si="104"/>
        <v>180.97063236247013</v>
      </c>
    </row>
    <row r="172" spans="1:20" x14ac:dyDescent="0.25">
      <c r="A172" s="36"/>
      <c r="C172" s="24" t="s">
        <v>53</v>
      </c>
      <c r="D172" s="25" t="s">
        <v>29</v>
      </c>
      <c r="E172" s="26"/>
      <c r="F172" s="129">
        <f>SUM(G172:T172)</f>
        <v>473.91982073524593</v>
      </c>
      <c r="G172" s="128">
        <f>SUMIF($C$41:$C$53,$A169,G$41:G$53)</f>
        <v>0</v>
      </c>
      <c r="H172" s="128">
        <f>SUMIF($C$41:$C$53,$A169,H$41:H$53)</f>
        <v>70.468821952919228</v>
      </c>
      <c r="I172" s="128">
        <f t="shared" ref="I172:T172" si="106">SUMIF($C$41:$C$53,$A169,I$41:I$53)</f>
        <v>0</v>
      </c>
      <c r="J172" s="128">
        <f t="shared" si="106"/>
        <v>0</v>
      </c>
      <c r="K172" s="128">
        <f t="shared" si="106"/>
        <v>0</v>
      </c>
      <c r="L172" s="128">
        <f t="shared" ref="L172" si="107">SUMIF($C$41:$C$53,$A169,L$41:L$53)</f>
        <v>0</v>
      </c>
      <c r="M172" s="128">
        <f>SUMIF($C$41:$C$53,$A169,M$41:M$53)</f>
        <v>0</v>
      </c>
      <c r="N172" s="128">
        <f t="shared" si="106"/>
        <v>0</v>
      </c>
      <c r="O172" s="128">
        <f>SUMIF($C$41:$C$53,$A169,O$41:O$53)</f>
        <v>167.2096744930125</v>
      </c>
      <c r="P172" s="128">
        <f t="shared" si="106"/>
        <v>0</v>
      </c>
      <c r="Q172" s="128">
        <f t="shared" si="106"/>
        <v>38.47481730218508</v>
      </c>
      <c r="R172" s="128">
        <f>SUMIF($C$41:$C$53,$A169,R$41:R$53)</f>
        <v>0</v>
      </c>
      <c r="S172" s="128">
        <f t="shared" si="106"/>
        <v>3.2397810691513698</v>
      </c>
      <c r="T172" s="132">
        <f t="shared" si="106"/>
        <v>194.52672591797776</v>
      </c>
    </row>
    <row r="173" spans="1:20" x14ac:dyDescent="0.25">
      <c r="A173" s="36"/>
      <c r="C173" s="24" t="s">
        <v>54</v>
      </c>
      <c r="D173" s="25" t="s">
        <v>29</v>
      </c>
      <c r="E173" s="26"/>
      <c r="F173" s="129">
        <f>SUM(G173:T173)</f>
        <v>527.61799807707257</v>
      </c>
      <c r="G173" s="128">
        <f>SUMIF($C$56:$C$68,$A169,G$56:G$68)</f>
        <v>0</v>
      </c>
      <c r="H173" s="128">
        <f>SUMIF($C$56:$C$68,$A169,H$56:H$68)</f>
        <v>70.463730263368504</v>
      </c>
      <c r="I173" s="128">
        <f t="shared" ref="I173:T173" si="108">SUMIF($C$56:$C$68,$A169,I$56:I$68)</f>
        <v>0</v>
      </c>
      <c r="J173" s="128">
        <f t="shared" si="108"/>
        <v>0</v>
      </c>
      <c r="K173" s="128">
        <f t="shared" si="108"/>
        <v>0</v>
      </c>
      <c r="L173" s="128">
        <f t="shared" ref="L173" si="109">SUMIF($C$56:$C$68,$A169,L$56:L$68)</f>
        <v>0</v>
      </c>
      <c r="M173" s="128">
        <f>SUMIF($C$56:$C$68,$A169,M$56:M$68)</f>
        <v>0</v>
      </c>
      <c r="N173" s="128">
        <f t="shared" si="108"/>
        <v>0</v>
      </c>
      <c r="O173" s="128">
        <f>SUMIF($C$56:$C$68,$A169,O$56:O$68)</f>
        <v>302.77691036283267</v>
      </c>
      <c r="P173" s="128">
        <f t="shared" si="108"/>
        <v>5.7155922483774413</v>
      </c>
      <c r="Q173" s="128">
        <f t="shared" si="108"/>
        <v>38.630766976467392</v>
      </c>
      <c r="R173" s="128">
        <f>SUMIF($C$56:$C$68,$A169,R$56:R$68)</f>
        <v>0</v>
      </c>
      <c r="S173" s="128">
        <f t="shared" si="108"/>
        <v>3.2708596841957136</v>
      </c>
      <c r="T173" s="132">
        <f t="shared" si="108"/>
        <v>106.76013854183088</v>
      </c>
    </row>
    <row r="174" spans="1:20" ht="12" thickBot="1" x14ac:dyDescent="0.3">
      <c r="A174" s="36"/>
      <c r="C174" s="96" t="s">
        <v>55</v>
      </c>
      <c r="D174" s="97" t="s">
        <v>29</v>
      </c>
      <c r="E174" s="98"/>
      <c r="F174" s="130">
        <f>SUM(G174:T174)</f>
        <v>345.16784395284822</v>
      </c>
      <c r="G174" s="131">
        <f>SUMIF($C$71:$C$83,$A169,G$71:G$83)</f>
        <v>0</v>
      </c>
      <c r="H174" s="131">
        <f>SUMIF($C$71:$C$83,$A169,H$71:H$83)</f>
        <v>70.473169456830391</v>
      </c>
      <c r="I174" s="131">
        <f t="shared" ref="I174:T174" si="110">SUMIF($C$71:$C$83,$A169,I$71:I$83)</f>
        <v>0</v>
      </c>
      <c r="J174" s="131">
        <f t="shared" si="110"/>
        <v>0</v>
      </c>
      <c r="K174" s="131">
        <f t="shared" si="110"/>
        <v>0</v>
      </c>
      <c r="L174" s="131">
        <f t="shared" ref="L174" si="111">SUMIF($C$71:$C$83,$A169,L$71:L$83)</f>
        <v>0</v>
      </c>
      <c r="M174" s="131">
        <f>SUMIF($C$71:$C$83,$A169,M$71:M$83)</f>
        <v>0</v>
      </c>
      <c r="N174" s="131">
        <f t="shared" si="110"/>
        <v>0</v>
      </c>
      <c r="O174" s="131">
        <f>SUMIF($C$71:$C$83,$A169,O$71:O$83)</f>
        <v>159.49714684836826</v>
      </c>
      <c r="P174" s="131">
        <f t="shared" si="110"/>
        <v>5.7155883469732593</v>
      </c>
      <c r="Q174" s="131">
        <f t="shared" si="110"/>
        <v>38.341226759679174</v>
      </c>
      <c r="R174" s="131">
        <f>SUMIF($C$71:$C$83,$A169,R$71:R$83)</f>
        <v>0</v>
      </c>
      <c r="S174" s="131">
        <f t="shared" si="110"/>
        <v>3.3019738146144184</v>
      </c>
      <c r="T174" s="133">
        <f t="shared" si="110"/>
        <v>67.838738726382687</v>
      </c>
    </row>
    <row r="175" spans="1:20" x14ac:dyDescent="0.25">
      <c r="A175" s="36"/>
    </row>
    <row r="176" spans="1:20" x14ac:dyDescent="0.25">
      <c r="A176" s="36"/>
    </row>
    <row r="177" spans="1:20" x14ac:dyDescent="0.25">
      <c r="A177" s="36"/>
    </row>
    <row r="178" spans="1:20" ht="12" thickBot="1" x14ac:dyDescent="0.3">
      <c r="A178" s="36" t="str">
        <f>C36</f>
        <v>Hunter</v>
      </c>
      <c r="C178" s="28" t="str">
        <f>"Table 12: "&amp;A178&amp;" capital expenditure ($'000, $2025-26)"</f>
        <v>Table 12: Hunter capital expenditure ($'000, $2025-26)</v>
      </c>
    </row>
    <row r="179" spans="1:20" ht="46" x14ac:dyDescent="0.25">
      <c r="A179" s="36"/>
      <c r="C179" s="29"/>
      <c r="D179" s="101"/>
      <c r="E179" s="52"/>
      <c r="F179" s="126" t="str">
        <f>$F$24</f>
        <v>Total</v>
      </c>
      <c r="G179" s="54" t="str">
        <f>$G$24</f>
        <v>Metering and compliance</v>
      </c>
      <c r="H179" s="54" t="str">
        <f>$H$24</f>
        <v>Water Delivery &amp; Other Operations</v>
      </c>
      <c r="I179" s="54" t="str">
        <f>$I$24</f>
        <v>Flood Operations</v>
      </c>
      <c r="J179" s="54" t="str">
        <f>$J$24</f>
        <v>Hydrometric Monitoring</v>
      </c>
      <c r="K179" s="54" t="str">
        <f>$K$24</f>
        <v>Water Quality Monitoring</v>
      </c>
      <c r="L179" s="54" t="str">
        <f>$L$24</f>
        <v>Direct Insurance</v>
      </c>
      <c r="M179" s="54" t="str">
        <f>$M$24</f>
        <v>Corrective Maintenance</v>
      </c>
      <c r="N179" s="54" t="str">
        <f>$N$24</f>
        <v>Routine Maintenance</v>
      </c>
      <c r="O179" s="54" t="str">
        <f>$O$24</f>
        <v>Renewals and Replacement</v>
      </c>
      <c r="P179" s="54" t="str">
        <f>$P$24</f>
        <v>Asset Management Planning</v>
      </c>
      <c r="Q179" s="54" t="str">
        <f>$Q$24</f>
        <v>Dam Safety Compliance</v>
      </c>
      <c r="R179" s="55" t="str">
        <f>$R$24</f>
        <v>Dam safety compliance on pre 1997 capital projects</v>
      </c>
      <c r="S179" s="54" t="str">
        <f>$S$24</f>
        <v>Environmental Planning &amp; Protection</v>
      </c>
      <c r="T179" s="99" t="str">
        <f>$T$24</f>
        <v>Corporate Systems</v>
      </c>
    </row>
    <row r="180" spans="1:20" x14ac:dyDescent="0.25">
      <c r="A180" s="36"/>
      <c r="C180" s="24" t="s">
        <v>58</v>
      </c>
      <c r="D180" s="25" t="s">
        <v>29</v>
      </c>
      <c r="E180" s="37"/>
      <c r="F180" s="127">
        <f>SUM(G180:T180)</f>
        <v>3118.5722372747787</v>
      </c>
      <c r="G180" s="128">
        <f>SUMIF($C$26:$C$38,$A178,G$26:G$38)</f>
        <v>0</v>
      </c>
      <c r="H180" s="128">
        <f>SUMIF($C$26:$C$38,$A178,H$26:H$38)</f>
        <v>0</v>
      </c>
      <c r="I180" s="128">
        <f t="shared" ref="I180:T180" si="112">SUMIF($C$26:$C$38,$A178,I$26:I$38)</f>
        <v>0</v>
      </c>
      <c r="J180" s="128">
        <f t="shared" si="112"/>
        <v>0</v>
      </c>
      <c r="K180" s="128">
        <f t="shared" si="112"/>
        <v>0</v>
      </c>
      <c r="L180" s="128">
        <f t="shared" ref="L180" si="113">SUMIF($C$26:$C$38,$A178,L$26:L$38)</f>
        <v>0</v>
      </c>
      <c r="M180" s="128">
        <f>SUMIF($C$26:$C$38,$A178,M$26:M$38)</f>
        <v>0</v>
      </c>
      <c r="N180" s="128">
        <f t="shared" si="112"/>
        <v>22.978601424564182</v>
      </c>
      <c r="O180" s="128">
        <f>SUMIF($C$26:$C$38,$A178,O$26:O$38)</f>
        <v>1766.5960159031722</v>
      </c>
      <c r="P180" s="128">
        <f t="shared" si="112"/>
        <v>95.86213497996215</v>
      </c>
      <c r="Q180" s="128">
        <f t="shared" si="112"/>
        <v>403.74182139910522</v>
      </c>
      <c r="R180" s="128">
        <f>SUMIF($C$26:$C$38,$A178,R$26:R$38)</f>
        <v>0</v>
      </c>
      <c r="S180" s="128">
        <f t="shared" si="112"/>
        <v>59.682190336268391</v>
      </c>
      <c r="T180" s="132">
        <f t="shared" si="112"/>
        <v>769.71147323170624</v>
      </c>
    </row>
    <row r="181" spans="1:20" x14ac:dyDescent="0.25">
      <c r="A181" s="36"/>
      <c r="C181" s="24" t="s">
        <v>53</v>
      </c>
      <c r="D181" s="25" t="s">
        <v>29</v>
      </c>
      <c r="E181" s="26"/>
      <c r="F181" s="129">
        <f>SUM(G181:T181)</f>
        <v>4620.8685031956866</v>
      </c>
      <c r="G181" s="128">
        <f>SUMIF($C$41:$C$53,$A178,G$41:G$53)</f>
        <v>0</v>
      </c>
      <c r="H181" s="128">
        <f>SUMIF($C$41:$C$53,$A178,H$41:H$53)</f>
        <v>0</v>
      </c>
      <c r="I181" s="128">
        <f t="shared" ref="I181:T181" si="114">SUMIF($C$41:$C$53,$A178,I$41:I$53)</f>
        <v>0</v>
      </c>
      <c r="J181" s="128">
        <f t="shared" si="114"/>
        <v>0</v>
      </c>
      <c r="K181" s="128">
        <f t="shared" si="114"/>
        <v>0</v>
      </c>
      <c r="L181" s="128">
        <f t="shared" ref="L181" si="115">SUMIF($C$41:$C$53,$A178,L$41:L$53)</f>
        <v>0</v>
      </c>
      <c r="M181" s="128">
        <f>SUMIF($C$41:$C$53,$A178,M$41:M$53)</f>
        <v>0</v>
      </c>
      <c r="N181" s="128">
        <f t="shared" si="114"/>
        <v>0</v>
      </c>
      <c r="O181" s="128">
        <f>SUMIF($C$41:$C$53,$A178,O$41:O$53)</f>
        <v>3746.1625777281029</v>
      </c>
      <c r="P181" s="128">
        <f t="shared" si="114"/>
        <v>0</v>
      </c>
      <c r="Q181" s="128">
        <f t="shared" si="114"/>
        <v>133.19277776248342</v>
      </c>
      <c r="R181" s="128">
        <f>SUMIF($C$41:$C$53,$A178,R$41:R$53)</f>
        <v>0</v>
      </c>
      <c r="S181" s="128">
        <f t="shared" si="114"/>
        <v>2.4842297697402955</v>
      </c>
      <c r="T181" s="132">
        <f t="shared" si="114"/>
        <v>739.02891793536082</v>
      </c>
    </row>
    <row r="182" spans="1:20" x14ac:dyDescent="0.25">
      <c r="A182" s="36"/>
      <c r="C182" s="24" t="s">
        <v>54</v>
      </c>
      <c r="D182" s="25" t="s">
        <v>29</v>
      </c>
      <c r="E182" s="26"/>
      <c r="F182" s="129">
        <f>SUM(G182:T182)</f>
        <v>2450.1632884157402</v>
      </c>
      <c r="G182" s="128">
        <f>SUMIF($C$56:$C$68,$A178,G$56:G$68)</f>
        <v>0</v>
      </c>
      <c r="H182" s="128">
        <f>SUMIF($C$56:$C$68,$A178,H$56:H$68)</f>
        <v>0</v>
      </c>
      <c r="I182" s="128">
        <f t="shared" ref="I182:T182" si="116">SUMIF($C$56:$C$68,$A178,I$56:I$68)</f>
        <v>0</v>
      </c>
      <c r="J182" s="128">
        <f t="shared" si="116"/>
        <v>0</v>
      </c>
      <c r="K182" s="128">
        <f t="shared" si="116"/>
        <v>0</v>
      </c>
      <c r="L182" s="128">
        <f t="shared" ref="L182" si="117">SUMIF($C$56:$C$68,$A178,L$56:L$68)</f>
        <v>0</v>
      </c>
      <c r="M182" s="128">
        <f>SUMIF($C$56:$C$68,$A178,M$56:M$68)</f>
        <v>0</v>
      </c>
      <c r="N182" s="128">
        <f t="shared" si="116"/>
        <v>0</v>
      </c>
      <c r="O182" s="128">
        <f>SUMIF($C$56:$C$68,$A178,O$56:O$68)</f>
        <v>1713.9243338675944</v>
      </c>
      <c r="P182" s="128">
        <f t="shared" si="116"/>
        <v>49.211695073688325</v>
      </c>
      <c r="Q182" s="128">
        <f t="shared" si="116"/>
        <v>149.46987134812855</v>
      </c>
      <c r="R182" s="128">
        <f>SUMIF($C$56:$C$68,$A178,R$56:R$68)</f>
        <v>0</v>
      </c>
      <c r="S182" s="128">
        <f t="shared" si="116"/>
        <v>2.5080605222039742</v>
      </c>
      <c r="T182" s="132">
        <f t="shared" si="116"/>
        <v>535.0493276041251</v>
      </c>
    </row>
    <row r="183" spans="1:20" ht="12" thickBot="1" x14ac:dyDescent="0.3">
      <c r="A183" s="36"/>
      <c r="C183" s="96" t="s">
        <v>55</v>
      </c>
      <c r="D183" s="97" t="s">
        <v>29</v>
      </c>
      <c r="E183" s="98"/>
      <c r="F183" s="130">
        <f>SUM(G183:T183)</f>
        <v>1951.2596919324164</v>
      </c>
      <c r="G183" s="131">
        <f>SUMIF($C$71:$C$83,$A178,G$71:G$83)</f>
        <v>0</v>
      </c>
      <c r="H183" s="131">
        <f>SUMIF($C$71:$C$83,$A178,H$71:H$83)</f>
        <v>0</v>
      </c>
      <c r="I183" s="131">
        <f t="shared" ref="I183:T183" si="118">SUMIF($C$71:$C$83,$A178,I$71:I$83)</f>
        <v>0</v>
      </c>
      <c r="J183" s="131">
        <f t="shared" si="118"/>
        <v>0</v>
      </c>
      <c r="K183" s="131">
        <f t="shared" si="118"/>
        <v>0</v>
      </c>
      <c r="L183" s="131">
        <f t="shared" ref="L183" si="119">SUMIF($C$71:$C$83,$A178,L$71:L$83)</f>
        <v>0</v>
      </c>
      <c r="M183" s="131">
        <f>SUMIF($C$71:$C$83,$A178,M$71:M$83)</f>
        <v>0</v>
      </c>
      <c r="N183" s="131">
        <f t="shared" si="118"/>
        <v>0</v>
      </c>
      <c r="O183" s="131">
        <f>SUMIF($C$71:$C$83,$A178,O$71:O$83)</f>
        <v>1472.7671027072611</v>
      </c>
      <c r="P183" s="131">
        <f t="shared" si="118"/>
        <v>49.211661482293991</v>
      </c>
      <c r="Q183" s="131">
        <f t="shared" si="118"/>
        <v>148.65072590901971</v>
      </c>
      <c r="R183" s="131">
        <f>SUMIF($C$71:$C$83,$A178,R$71:R$83)</f>
        <v>0</v>
      </c>
      <c r="S183" s="131">
        <f t="shared" si="118"/>
        <v>2.5319185074801132</v>
      </c>
      <c r="T183" s="133">
        <f t="shared" si="118"/>
        <v>278.09828332636141</v>
      </c>
    </row>
    <row r="184" spans="1:20" x14ac:dyDescent="0.25">
      <c r="A184" s="36"/>
    </row>
    <row r="185" spans="1:20" x14ac:dyDescent="0.25">
      <c r="A185" s="36"/>
    </row>
    <row r="186" spans="1:20" x14ac:dyDescent="0.25">
      <c r="A186" s="36"/>
    </row>
    <row r="187" spans="1:20" ht="12" thickBot="1" x14ac:dyDescent="0.3">
      <c r="A187" s="36" t="str">
        <f>C37</f>
        <v>South Coast</v>
      </c>
      <c r="C187" s="28" t="str">
        <f>"Table 13: "&amp;A187&amp;" capital expenditure ($'000, $2025-26)"</f>
        <v>Table 13: South Coast capital expenditure ($'000, $2025-26)</v>
      </c>
    </row>
    <row r="188" spans="1:20" ht="46" x14ac:dyDescent="0.25">
      <c r="A188" s="36"/>
      <c r="C188" s="29"/>
      <c r="D188" s="101"/>
      <c r="E188" s="52"/>
      <c r="F188" s="126" t="str">
        <f>$F$24</f>
        <v>Total</v>
      </c>
      <c r="G188" s="54" t="str">
        <f>$G$24</f>
        <v>Metering and compliance</v>
      </c>
      <c r="H188" s="54" t="str">
        <f>$H$24</f>
        <v>Water Delivery &amp; Other Operations</v>
      </c>
      <c r="I188" s="54" t="str">
        <f>$I$24</f>
        <v>Flood Operations</v>
      </c>
      <c r="J188" s="54" t="str">
        <f>$J$24</f>
        <v>Hydrometric Monitoring</v>
      </c>
      <c r="K188" s="54" t="str">
        <f>$K$24</f>
        <v>Water Quality Monitoring</v>
      </c>
      <c r="L188" s="54" t="str">
        <f>$L$24</f>
        <v>Direct Insurance</v>
      </c>
      <c r="M188" s="54" t="str">
        <f>$M$24</f>
        <v>Corrective Maintenance</v>
      </c>
      <c r="N188" s="54" t="str">
        <f>$N$24</f>
        <v>Routine Maintenance</v>
      </c>
      <c r="O188" s="54" t="str">
        <f>$O$24</f>
        <v>Renewals and Replacement</v>
      </c>
      <c r="P188" s="54" t="str">
        <f>$P$24</f>
        <v>Asset Management Planning</v>
      </c>
      <c r="Q188" s="54" t="str">
        <f>$Q$24</f>
        <v>Dam Safety Compliance</v>
      </c>
      <c r="R188" s="55" t="str">
        <f>$R$24</f>
        <v>Dam safety compliance on pre 1997 capital projects</v>
      </c>
      <c r="S188" s="54" t="str">
        <f>$S$24</f>
        <v>Environmental Planning &amp; Protection</v>
      </c>
      <c r="T188" s="99" t="str">
        <f>$T$24</f>
        <v>Corporate Systems</v>
      </c>
    </row>
    <row r="189" spans="1:20" x14ac:dyDescent="0.25">
      <c r="A189" s="36"/>
      <c r="C189" s="24" t="s">
        <v>58</v>
      </c>
      <c r="D189" s="25" t="s">
        <v>29</v>
      </c>
      <c r="E189" s="37"/>
      <c r="F189" s="127">
        <f>SUM(G189:T189)</f>
        <v>331.77775540144654</v>
      </c>
      <c r="G189" s="128">
        <f>SUMIF($C$26:$C$38,$A187,G$26:G$38)</f>
        <v>0</v>
      </c>
      <c r="H189" s="128">
        <f>SUMIF($C$26:$C$38,$A187,H$26:H$38)</f>
        <v>0</v>
      </c>
      <c r="I189" s="128">
        <f t="shared" ref="I189:T189" si="120">SUMIF($C$26:$C$38,$A187,I$26:I$38)</f>
        <v>0</v>
      </c>
      <c r="J189" s="128">
        <f t="shared" si="120"/>
        <v>0</v>
      </c>
      <c r="K189" s="128">
        <f t="shared" si="120"/>
        <v>0</v>
      </c>
      <c r="L189" s="128">
        <f t="shared" ref="L189" si="121">SUMIF($C$26:$C$38,$A187,L$26:L$38)</f>
        <v>0</v>
      </c>
      <c r="M189" s="128">
        <f>SUMIF($C$26:$C$38,$A187,M$26:M$38)</f>
        <v>0</v>
      </c>
      <c r="N189" s="128">
        <f t="shared" si="120"/>
        <v>4.1066665252061387</v>
      </c>
      <c r="O189" s="128">
        <f>SUMIF($C$26:$C$38,$A187,O$26:O$38)</f>
        <v>143.36138361093549</v>
      </c>
      <c r="P189" s="128">
        <f t="shared" si="120"/>
        <v>18.479189145003993</v>
      </c>
      <c r="Q189" s="128">
        <f t="shared" si="120"/>
        <v>49.710214182089977</v>
      </c>
      <c r="R189" s="128">
        <f>SUMIF($C$26:$C$38,$A187,R$26:R$38)</f>
        <v>0</v>
      </c>
      <c r="S189" s="128">
        <f t="shared" si="120"/>
        <v>0</v>
      </c>
      <c r="T189" s="132">
        <f t="shared" si="120"/>
        <v>116.12030193821091</v>
      </c>
    </row>
    <row r="190" spans="1:20" x14ac:dyDescent="0.25">
      <c r="A190" s="36"/>
      <c r="C190" s="24" t="s">
        <v>53</v>
      </c>
      <c r="D190" s="25" t="s">
        <v>29</v>
      </c>
      <c r="E190" s="26"/>
      <c r="F190" s="129">
        <f>SUM(G190:T190)</f>
        <v>519.10959456945193</v>
      </c>
      <c r="G190" s="128">
        <f>SUMIF($C$41:$C$53,$A187,G$41:G$53)</f>
        <v>0</v>
      </c>
      <c r="H190" s="128">
        <f>SUMIF($C$41:$C$53,$A187,H$41:H$53)</f>
        <v>0</v>
      </c>
      <c r="I190" s="128">
        <f t="shared" ref="I190:T190" si="122">SUMIF($C$41:$C$53,$A187,I$41:I$53)</f>
        <v>0</v>
      </c>
      <c r="J190" s="128">
        <f t="shared" si="122"/>
        <v>0</v>
      </c>
      <c r="K190" s="128">
        <f t="shared" si="122"/>
        <v>0</v>
      </c>
      <c r="L190" s="128">
        <f t="shared" ref="L190" si="123">SUMIF($C$41:$C$53,$A187,L$41:L$53)</f>
        <v>0</v>
      </c>
      <c r="M190" s="128">
        <f>SUMIF($C$41:$C$53,$A187,M$41:M$53)</f>
        <v>0</v>
      </c>
      <c r="N190" s="128">
        <f t="shared" si="122"/>
        <v>0</v>
      </c>
      <c r="O190" s="128">
        <f>SUMIF($C$41:$C$53,$A187,O$41:O$53)</f>
        <v>227.29901092023647</v>
      </c>
      <c r="P190" s="128">
        <f t="shared" si="122"/>
        <v>0</v>
      </c>
      <c r="Q190" s="128">
        <f t="shared" si="122"/>
        <v>47.956943705536844</v>
      </c>
      <c r="R190" s="128">
        <f>SUMIF($C$41:$C$53,$A187,R$41:R$53)</f>
        <v>0</v>
      </c>
      <c r="S190" s="128">
        <f t="shared" si="122"/>
        <v>0</v>
      </c>
      <c r="T190" s="132">
        <f t="shared" si="122"/>
        <v>243.85363994367856</v>
      </c>
    </row>
    <row r="191" spans="1:20" x14ac:dyDescent="0.25">
      <c r="A191" s="36"/>
      <c r="C191" s="24" t="s">
        <v>54</v>
      </c>
      <c r="D191" s="25" t="s">
        <v>29</v>
      </c>
      <c r="E191" s="26"/>
      <c r="F191" s="129">
        <f>SUM(G191:T191)</f>
        <v>676.92875608678833</v>
      </c>
      <c r="G191" s="128">
        <f>SUMIF($C$56:$C$68,$A187,G$56:G$68)</f>
        <v>0</v>
      </c>
      <c r="H191" s="128">
        <f>SUMIF($C$56:$C$68,$A187,H$56:H$68)</f>
        <v>0</v>
      </c>
      <c r="I191" s="128">
        <f t="shared" ref="I191:T191" si="124">SUMIF($C$56:$C$68,$A187,I$56:I$68)</f>
        <v>0</v>
      </c>
      <c r="J191" s="128">
        <f t="shared" si="124"/>
        <v>0</v>
      </c>
      <c r="K191" s="128">
        <f t="shared" si="124"/>
        <v>0</v>
      </c>
      <c r="L191" s="128">
        <f t="shared" ref="L191" si="125">SUMIF($C$56:$C$68,$A187,L$56:L$68)</f>
        <v>0</v>
      </c>
      <c r="M191" s="128">
        <f>SUMIF($C$56:$C$68,$A187,M$56:M$68)</f>
        <v>0</v>
      </c>
      <c r="N191" s="128">
        <f t="shared" si="124"/>
        <v>0</v>
      </c>
      <c r="O191" s="128">
        <f>SUMIF($C$56:$C$68,$A187,O$56:O$68)</f>
        <v>425.49422140881376</v>
      </c>
      <c r="P191" s="128">
        <f t="shared" si="124"/>
        <v>3.5429129369524324</v>
      </c>
      <c r="Q191" s="128">
        <f t="shared" si="124"/>
        <v>48.153792518866965</v>
      </c>
      <c r="R191" s="128">
        <f>SUMIF($C$56:$C$68,$A187,R$56:R$68)</f>
        <v>0</v>
      </c>
      <c r="S191" s="128">
        <f t="shared" si="124"/>
        <v>0</v>
      </c>
      <c r="T191" s="132">
        <f t="shared" si="124"/>
        <v>199.73782922215526</v>
      </c>
    </row>
    <row r="192" spans="1:20" ht="12" thickBot="1" x14ac:dyDescent="0.3">
      <c r="A192" s="36"/>
      <c r="C192" s="96" t="s">
        <v>55</v>
      </c>
      <c r="D192" s="97" t="s">
        <v>29</v>
      </c>
      <c r="E192" s="98"/>
      <c r="F192" s="130">
        <f>SUM(G192:T192)</f>
        <v>380.74955874904384</v>
      </c>
      <c r="G192" s="131">
        <f>SUMIF($C$71:$C$83,$A187,G$71:G$83)</f>
        <v>0</v>
      </c>
      <c r="H192" s="131">
        <f>SUMIF($C$71:$C$83,$A187,H$71:H$83)</f>
        <v>0</v>
      </c>
      <c r="I192" s="131">
        <f t="shared" ref="I192:T192" si="126">SUMIF($C$71:$C$83,$A187,I$71:I$83)</f>
        <v>0</v>
      </c>
      <c r="J192" s="131">
        <f t="shared" si="126"/>
        <v>0</v>
      </c>
      <c r="K192" s="131">
        <f t="shared" si="126"/>
        <v>0</v>
      </c>
      <c r="L192" s="131">
        <f t="shared" ref="L192" si="127">SUMIF($C$71:$C$83,$A187,L$71:L$83)</f>
        <v>0</v>
      </c>
      <c r="M192" s="131">
        <f>SUMIF($C$71:$C$83,$A187,M$71:M$83)</f>
        <v>0</v>
      </c>
      <c r="N192" s="131">
        <f t="shared" si="126"/>
        <v>0</v>
      </c>
      <c r="O192" s="131">
        <f>SUMIF($C$71:$C$83,$A187,O$71:O$83)</f>
        <v>245.17287279171225</v>
      </c>
      <c r="P192" s="131">
        <f t="shared" si="126"/>
        <v>3.5429105185966869</v>
      </c>
      <c r="Q192" s="131">
        <f t="shared" si="126"/>
        <v>47.791388765055579</v>
      </c>
      <c r="R192" s="131">
        <f>SUMIF($C$71:$C$83,$A187,R$71:R$83)</f>
        <v>0</v>
      </c>
      <c r="S192" s="131">
        <f t="shared" si="126"/>
        <v>0</v>
      </c>
      <c r="T192" s="133">
        <f t="shared" si="126"/>
        <v>84.242386673679334</v>
      </c>
    </row>
    <row r="193" spans="1:20" x14ac:dyDescent="0.25">
      <c r="A193" s="36"/>
    </row>
    <row r="194" spans="1:20" x14ac:dyDescent="0.25">
      <c r="A194" s="36"/>
    </row>
    <row r="195" spans="1:20" x14ac:dyDescent="0.25">
      <c r="A195" s="36"/>
    </row>
    <row r="196" spans="1:20" ht="12" thickBot="1" x14ac:dyDescent="0.3">
      <c r="A196" s="36" t="str">
        <f>C38</f>
        <v>Fish River</v>
      </c>
      <c r="C196" s="28" t="str">
        <f>"Table 14: "&amp;A196&amp;" capital expenditure ($'000, $2025-26)"</f>
        <v>Table 14: Fish River capital expenditure ($'000, $2025-26)</v>
      </c>
    </row>
    <row r="197" spans="1:20" ht="46" x14ac:dyDescent="0.25">
      <c r="C197" s="29"/>
      <c r="D197" s="101"/>
      <c r="E197" s="52"/>
      <c r="F197" s="126" t="str">
        <f>$F$24</f>
        <v>Total</v>
      </c>
      <c r="G197" s="54" t="str">
        <f>$G$24</f>
        <v>Metering and compliance</v>
      </c>
      <c r="H197" s="54" t="str">
        <f>$H$24</f>
        <v>Water Delivery &amp; Other Operations</v>
      </c>
      <c r="I197" s="54" t="str">
        <f>$I$24</f>
        <v>Flood Operations</v>
      </c>
      <c r="J197" s="54" t="str">
        <f>$J$24</f>
        <v>Hydrometric Monitoring</v>
      </c>
      <c r="K197" s="54" t="str">
        <f>$K$24</f>
        <v>Water Quality Monitoring</v>
      </c>
      <c r="L197" s="54" t="str">
        <f>$L$24</f>
        <v>Direct Insurance</v>
      </c>
      <c r="M197" s="54" t="str">
        <f>$M$24</f>
        <v>Corrective Maintenance</v>
      </c>
      <c r="N197" s="54" t="str">
        <f>$N$24</f>
        <v>Routine Maintenance</v>
      </c>
      <c r="O197" s="54" t="str">
        <f>$O$24</f>
        <v>Renewals and Replacement</v>
      </c>
      <c r="P197" s="54" t="str">
        <f>$P$24</f>
        <v>Asset Management Planning</v>
      </c>
      <c r="Q197" s="54" t="str">
        <f>$Q$24</f>
        <v>Dam Safety Compliance</v>
      </c>
      <c r="R197" s="55" t="str">
        <f>$R$24</f>
        <v>Dam safety compliance on pre 1997 capital projects</v>
      </c>
      <c r="S197" s="54" t="str">
        <f>$S$24</f>
        <v>Environmental Planning &amp; Protection</v>
      </c>
      <c r="T197" s="99" t="str">
        <f>$T$24</f>
        <v>Corporate Systems</v>
      </c>
    </row>
    <row r="198" spans="1:20" x14ac:dyDescent="0.25">
      <c r="C198" s="24" t="s">
        <v>58</v>
      </c>
      <c r="D198" s="25" t="s">
        <v>29</v>
      </c>
      <c r="E198" s="37"/>
      <c r="F198" s="127">
        <f>SUM(G198:T198)</f>
        <v>4885.4068931493157</v>
      </c>
      <c r="G198" s="128">
        <f>SUMIF($C$26:$C$38,$A196,G$26:G$38)</f>
        <v>0</v>
      </c>
      <c r="H198" s="128">
        <f>SUMIF($C$26:$C$38,$A196,H$26:H$38)</f>
        <v>536.63299493053614</v>
      </c>
      <c r="I198" s="128">
        <f t="shared" ref="I198:T198" si="128">SUMIF($C$26:$C$38,$A196,I$26:I$38)</f>
        <v>0</v>
      </c>
      <c r="J198" s="128">
        <f t="shared" si="128"/>
        <v>0</v>
      </c>
      <c r="K198" s="128">
        <f t="shared" si="128"/>
        <v>0</v>
      </c>
      <c r="L198" s="128">
        <f t="shared" ref="L198" si="129">SUMIF($C$26:$C$38,$A196,L$26:L$38)</f>
        <v>0</v>
      </c>
      <c r="M198" s="128">
        <f>SUMIF($C$26:$C$38,$A196,M$26:M$38)</f>
        <v>0</v>
      </c>
      <c r="N198" s="128">
        <f t="shared" si="128"/>
        <v>30.835887195321376</v>
      </c>
      <c r="O198" s="128">
        <f>SUMIF($C$26:$C$38,$A196,O$26:O$38)</f>
        <v>2542.9003761032714</v>
      </c>
      <c r="P198" s="128">
        <f t="shared" si="128"/>
        <v>145.10269372630361</v>
      </c>
      <c r="Q198" s="128">
        <f t="shared" si="128"/>
        <v>562.18967588881321</v>
      </c>
      <c r="R198" s="128">
        <f>SUMIF($C$26:$C$38,$A196,R$26:R$38)</f>
        <v>0</v>
      </c>
      <c r="S198" s="128">
        <f t="shared" si="128"/>
        <v>0</v>
      </c>
      <c r="T198" s="132">
        <f t="shared" si="128"/>
        <v>1067.74526530507</v>
      </c>
    </row>
    <row r="199" spans="1:20" x14ac:dyDescent="0.25">
      <c r="C199" s="24" t="s">
        <v>53</v>
      </c>
      <c r="D199" s="25" t="s">
        <v>29</v>
      </c>
      <c r="E199" s="26"/>
      <c r="F199" s="129">
        <f>SUM(G199:T199)</f>
        <v>3509.1534711381146</v>
      </c>
      <c r="G199" s="128">
        <f>SUMIF($C$41:$C$53,$A196,G$41:G$53)</f>
        <v>0</v>
      </c>
      <c r="H199" s="128">
        <f>SUMIF($C$41:$C$53,$A196,H$41:H$53)</f>
        <v>0</v>
      </c>
      <c r="I199" s="128">
        <f t="shared" ref="I199:T199" si="130">SUMIF($C$41:$C$53,$A196,I$41:I$53)</f>
        <v>0</v>
      </c>
      <c r="J199" s="128">
        <f t="shared" si="130"/>
        <v>0</v>
      </c>
      <c r="K199" s="128">
        <f t="shared" si="130"/>
        <v>0</v>
      </c>
      <c r="L199" s="128">
        <f t="shared" ref="L199" si="131">SUMIF($C$41:$C$53,$A196,L$41:L$53)</f>
        <v>0</v>
      </c>
      <c r="M199" s="128">
        <f>SUMIF($C$41:$C$53,$A196,M$41:M$53)</f>
        <v>0</v>
      </c>
      <c r="N199" s="128">
        <f t="shared" si="130"/>
        <v>0</v>
      </c>
      <c r="O199" s="128">
        <f>SUMIF($C$41:$C$53,$A196,O$41:O$53)</f>
        <v>1301.0723922671193</v>
      </c>
      <c r="P199" s="128">
        <f t="shared" si="130"/>
        <v>0</v>
      </c>
      <c r="Q199" s="128">
        <f t="shared" si="130"/>
        <v>629.91418007150185</v>
      </c>
      <c r="R199" s="128">
        <f>SUMIF($C$41:$C$53,$A196,R$41:R$53)</f>
        <v>0</v>
      </c>
      <c r="S199" s="128">
        <f t="shared" si="130"/>
        <v>0</v>
      </c>
      <c r="T199" s="132">
        <f t="shared" si="130"/>
        <v>1578.1668987994938</v>
      </c>
    </row>
    <row r="200" spans="1:20" x14ac:dyDescent="0.25">
      <c r="C200" s="24" t="s">
        <v>54</v>
      </c>
      <c r="D200" s="25" t="s">
        <v>29</v>
      </c>
      <c r="E200" s="26"/>
      <c r="F200" s="129">
        <f>SUM(G200:T200)</f>
        <v>4620.0452380985189</v>
      </c>
      <c r="G200" s="128">
        <f>SUMIF($C$56:$C$68,$A196,G$56:G$68)</f>
        <v>0</v>
      </c>
      <c r="H200" s="128">
        <f>SUMIF($C$56:$C$68,$A196,H$56:H$68)</f>
        <v>425.36287010734969</v>
      </c>
      <c r="I200" s="128">
        <f t="shared" ref="I200:T200" si="132">SUMIF($C$56:$C$68,$A196,I$56:I$68)</f>
        <v>0</v>
      </c>
      <c r="J200" s="128">
        <f t="shared" si="132"/>
        <v>0</v>
      </c>
      <c r="K200" s="128">
        <f t="shared" si="132"/>
        <v>0</v>
      </c>
      <c r="L200" s="128">
        <f t="shared" ref="L200" si="133">SUMIF($C$56:$C$68,$A196,L$56:L$68)</f>
        <v>0</v>
      </c>
      <c r="M200" s="128">
        <f>SUMIF($C$56:$C$68,$A196,M$56:M$68)</f>
        <v>0</v>
      </c>
      <c r="N200" s="128">
        <f t="shared" si="132"/>
        <v>0</v>
      </c>
      <c r="O200" s="128">
        <f>SUMIF($C$56:$C$68,$A196,O$56:O$68)</f>
        <v>2326.2721664920978</v>
      </c>
      <c r="P200" s="128">
        <f t="shared" si="132"/>
        <v>45.898805524385814</v>
      </c>
      <c r="Q200" s="128">
        <f t="shared" si="132"/>
        <v>632.49930164792693</v>
      </c>
      <c r="R200" s="128">
        <f>SUMIF($C$56:$C$68,$A196,R$56:R$68)</f>
        <v>0</v>
      </c>
      <c r="S200" s="128">
        <f t="shared" si="132"/>
        <v>0</v>
      </c>
      <c r="T200" s="132">
        <f t="shared" si="132"/>
        <v>1190.012094326758</v>
      </c>
    </row>
    <row r="201" spans="1:20" ht="12" thickBot="1" x14ac:dyDescent="0.3">
      <c r="C201" s="96" t="s">
        <v>55</v>
      </c>
      <c r="D201" s="97" t="s">
        <v>29</v>
      </c>
      <c r="E201" s="98"/>
      <c r="F201" s="130">
        <f>SUM(G201:T201)</f>
        <v>11668.255097417799</v>
      </c>
      <c r="G201" s="131">
        <f>SUMIF($C$71:$C$83,$A196,G$71:G$83)</f>
        <v>0</v>
      </c>
      <c r="H201" s="131">
        <f>SUMIF($C$71:$C$83,$A196,H$71:H$83)</f>
        <v>1553.3238131423886</v>
      </c>
      <c r="I201" s="131">
        <f t="shared" ref="I201:T201" si="134">SUMIF($C$71:$C$83,$A196,I$71:I$83)</f>
        <v>0</v>
      </c>
      <c r="J201" s="131">
        <f t="shared" si="134"/>
        <v>0</v>
      </c>
      <c r="K201" s="131">
        <f t="shared" si="134"/>
        <v>0</v>
      </c>
      <c r="L201" s="131">
        <f t="shared" ref="L201" si="135">SUMIF($C$71:$C$83,$A196,L$71:L$83)</f>
        <v>0</v>
      </c>
      <c r="M201" s="131">
        <f>SUMIF($C$71:$C$83,$A196,M$71:M$83)</f>
        <v>0</v>
      </c>
      <c r="N201" s="131">
        <f t="shared" si="134"/>
        <v>0</v>
      </c>
      <c r="O201" s="131">
        <f>SUMIF($C$71:$C$83,$A196,O$71:O$83)</f>
        <v>8803.6982523329734</v>
      </c>
      <c r="P201" s="131">
        <f t="shared" si="134"/>
        <v>45.898774194335644</v>
      </c>
      <c r="Q201" s="131">
        <f t="shared" si="134"/>
        <v>627.74239514866917</v>
      </c>
      <c r="R201" s="131">
        <f>SUMIF($C$71:$C$83,$A196,R$71:R$83)</f>
        <v>0</v>
      </c>
      <c r="S201" s="131">
        <f t="shared" si="134"/>
        <v>0</v>
      </c>
      <c r="T201" s="133">
        <f t="shared" si="134"/>
        <v>637.59186259943203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D10D-5742-4161-8673-02EF7036B6A8}">
  <dimension ref="C2:O140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1.5" x14ac:dyDescent="0.25"/>
  <cols>
    <col min="1" max="2" width="3.69921875" customWidth="1"/>
    <col min="3" max="3" width="38.19921875" customWidth="1"/>
    <col min="9" max="9" width="10.69921875" customWidth="1"/>
    <col min="10" max="10" width="1.69921875" style="66" customWidth="1"/>
    <col min="11" max="13" width="10.69921875" customWidth="1"/>
    <col min="16" max="17" width="12.69921875" customWidth="1"/>
  </cols>
  <sheetData>
    <row r="2" spans="3:13" x14ac:dyDescent="0.25">
      <c r="I2" s="59" t="s">
        <v>74</v>
      </c>
      <c r="J2" s="65"/>
      <c r="K2" s="59" t="s">
        <v>53</v>
      </c>
      <c r="L2" s="59" t="s">
        <v>54</v>
      </c>
      <c r="M2" s="59" t="s">
        <v>55</v>
      </c>
    </row>
    <row r="4" spans="3:13" ht="15.5" x14ac:dyDescent="0.25">
      <c r="C4" s="27" t="s">
        <v>97</v>
      </c>
      <c r="D4" s="27"/>
      <c r="E4" s="27"/>
      <c r="F4" s="27"/>
      <c r="G4" s="27"/>
      <c r="H4" s="27"/>
      <c r="I4" s="27"/>
      <c r="J4" s="27"/>
      <c r="K4" s="27"/>
      <c r="L4" s="27"/>
      <c r="M4" s="27"/>
    </row>
    <row r="6" spans="3:13" ht="20" x14ac:dyDescent="0.4">
      <c r="C6" s="62" t="s">
        <v>8</v>
      </c>
    </row>
    <row r="7" spans="3:13" x14ac:dyDescent="0.25">
      <c r="C7" s="82" t="s">
        <v>90</v>
      </c>
    </row>
    <row r="8" spans="3:13" x14ac:dyDescent="0.25">
      <c r="C8" s="82" t="s">
        <v>91</v>
      </c>
    </row>
    <row r="10" spans="3:13" ht="15.5" x14ac:dyDescent="0.35">
      <c r="C10" s="4" t="s">
        <v>76</v>
      </c>
    </row>
    <row r="12" spans="3:13" x14ac:dyDescent="0.25">
      <c r="C12" s="3" t="s">
        <v>93</v>
      </c>
    </row>
    <row r="13" spans="3:13" x14ac:dyDescent="0.25">
      <c r="C13" t="s">
        <v>59</v>
      </c>
      <c r="D13" t="s">
        <v>75</v>
      </c>
      <c r="I13" s="61">
        <v>73049</v>
      </c>
      <c r="J13" s="67"/>
      <c r="K13" s="61">
        <v>90479.5</v>
      </c>
      <c r="L13" s="61">
        <v>90479.5</v>
      </c>
      <c r="M13" s="61">
        <v>90479.5</v>
      </c>
    </row>
    <row r="14" spans="3:13" x14ac:dyDescent="0.25">
      <c r="C14" t="s">
        <v>60</v>
      </c>
      <c r="D14" t="s">
        <v>75</v>
      </c>
      <c r="I14" s="61">
        <v>1412128</v>
      </c>
      <c r="J14" s="67"/>
      <c r="K14" s="61">
        <v>1258482.5</v>
      </c>
      <c r="L14" s="61">
        <v>1258482.5</v>
      </c>
      <c r="M14" s="61">
        <v>1258482.5</v>
      </c>
    </row>
    <row r="15" spans="3:13" x14ac:dyDescent="0.25">
      <c r="C15" t="s">
        <v>61</v>
      </c>
      <c r="D15" t="s">
        <v>75</v>
      </c>
      <c r="I15" s="61">
        <v>35674</v>
      </c>
      <c r="J15" s="67"/>
      <c r="K15" s="61">
        <v>27140.1</v>
      </c>
      <c r="L15" s="61">
        <v>27140.1</v>
      </c>
      <c r="M15" s="61">
        <v>27140.1</v>
      </c>
    </row>
    <row r="16" spans="3:13" x14ac:dyDescent="0.25">
      <c r="C16" t="s">
        <v>62</v>
      </c>
      <c r="D16" t="s">
        <v>75</v>
      </c>
      <c r="I16" s="61">
        <v>70617</v>
      </c>
      <c r="J16" s="67"/>
      <c r="K16" s="61">
        <v>66621</v>
      </c>
      <c r="L16" s="61">
        <v>66621</v>
      </c>
      <c r="M16" s="61">
        <v>66621</v>
      </c>
    </row>
    <row r="17" spans="3:13" x14ac:dyDescent="0.25">
      <c r="C17" t="s">
        <v>63</v>
      </c>
      <c r="D17" t="s">
        <v>75</v>
      </c>
      <c r="I17" s="61">
        <v>37265</v>
      </c>
      <c r="J17" s="67"/>
      <c r="K17" s="61">
        <v>35980.699999999997</v>
      </c>
      <c r="L17" s="61">
        <v>35980.699999999997</v>
      </c>
      <c r="M17" s="61">
        <v>35980.699999999997</v>
      </c>
    </row>
    <row r="18" spans="3:13" x14ac:dyDescent="0.25">
      <c r="C18" t="s">
        <v>64</v>
      </c>
      <c r="D18" t="s">
        <v>75</v>
      </c>
      <c r="I18" s="61">
        <v>13339.5</v>
      </c>
      <c r="J18" s="67"/>
      <c r="K18" s="61">
        <v>6544.13</v>
      </c>
      <c r="L18" s="61">
        <v>6544.13</v>
      </c>
      <c r="M18" s="61">
        <v>6544.13</v>
      </c>
    </row>
    <row r="19" spans="3:13" x14ac:dyDescent="0.25">
      <c r="C19" t="s">
        <v>65</v>
      </c>
      <c r="D19" t="s">
        <v>75</v>
      </c>
      <c r="I19" s="61">
        <v>1122617</v>
      </c>
      <c r="J19" s="67"/>
      <c r="K19" s="61">
        <v>1059440.03</v>
      </c>
      <c r="L19" s="61">
        <v>1059440.03</v>
      </c>
      <c r="M19" s="61">
        <v>1059440.03</v>
      </c>
    </row>
    <row r="20" spans="3:13" x14ac:dyDescent="0.25">
      <c r="C20" t="s">
        <v>66</v>
      </c>
      <c r="D20" t="s">
        <v>75</v>
      </c>
      <c r="I20" s="61">
        <v>481117</v>
      </c>
      <c r="J20" s="67"/>
      <c r="K20" s="61">
        <v>468676.6</v>
      </c>
      <c r="L20" s="61">
        <v>468676.6</v>
      </c>
      <c r="M20" s="61">
        <v>468676.6</v>
      </c>
    </row>
    <row r="22" spans="3:13" x14ac:dyDescent="0.25">
      <c r="C22" s="3" t="s">
        <v>92</v>
      </c>
    </row>
    <row r="23" spans="3:13" x14ac:dyDescent="0.25">
      <c r="C23" t="s">
        <v>33</v>
      </c>
      <c r="D23" t="s">
        <v>75</v>
      </c>
      <c r="I23" s="61">
        <v>690418</v>
      </c>
      <c r="J23" s="67"/>
      <c r="K23" s="61">
        <v>690448.71299999999</v>
      </c>
      <c r="L23" s="61">
        <v>690448.71299999999</v>
      </c>
      <c r="M23" s="61">
        <v>690448.71299999999</v>
      </c>
    </row>
    <row r="24" spans="3:13" x14ac:dyDescent="0.25">
      <c r="C24" t="s">
        <v>35</v>
      </c>
      <c r="D24" t="s">
        <v>75</v>
      </c>
      <c r="I24" s="61">
        <v>2347178</v>
      </c>
      <c r="J24" s="67"/>
      <c r="K24" s="61">
        <v>2344748.1519999998</v>
      </c>
      <c r="L24" s="61">
        <v>2344748.1519999998</v>
      </c>
      <c r="M24" s="61">
        <v>2344748.1519999998</v>
      </c>
    </row>
    <row r="25" spans="3:13" x14ac:dyDescent="0.25">
      <c r="C25" t="s">
        <v>36</v>
      </c>
      <c r="D25" t="s">
        <v>75</v>
      </c>
      <c r="I25" s="61">
        <v>2704141</v>
      </c>
      <c r="J25" s="67"/>
      <c r="K25" s="61">
        <v>2705796.05</v>
      </c>
      <c r="L25" s="61">
        <v>2705796.05</v>
      </c>
      <c r="M25" s="61">
        <v>2705796.05</v>
      </c>
    </row>
    <row r="27" spans="3:13" x14ac:dyDescent="0.25">
      <c r="C27" s="3" t="s">
        <v>77</v>
      </c>
    </row>
    <row r="28" spans="3:13" x14ac:dyDescent="0.25">
      <c r="C28" t="s">
        <v>59</v>
      </c>
      <c r="D28" t="s">
        <v>80</v>
      </c>
      <c r="I28" s="61">
        <v>188</v>
      </c>
      <c r="J28" s="67"/>
      <c r="K28" s="61">
        <v>188</v>
      </c>
      <c r="L28" s="61">
        <v>188</v>
      </c>
      <c r="M28" s="61">
        <v>188</v>
      </c>
    </row>
    <row r="29" spans="3:13" x14ac:dyDescent="0.25">
      <c r="C29" t="s">
        <v>60</v>
      </c>
      <c r="D29" t="s">
        <v>80</v>
      </c>
      <c r="I29" s="61">
        <v>1544</v>
      </c>
      <c r="J29" s="67"/>
      <c r="K29" s="61">
        <v>1544</v>
      </c>
      <c r="L29" s="61">
        <v>1544</v>
      </c>
      <c r="M29" s="61">
        <v>1544</v>
      </c>
    </row>
    <row r="30" spans="3:13" x14ac:dyDescent="0.25">
      <c r="C30" t="s">
        <v>61</v>
      </c>
      <c r="D30" t="s">
        <v>80</v>
      </c>
      <c r="I30" s="61">
        <v>475</v>
      </c>
      <c r="J30" s="67"/>
      <c r="K30" s="61">
        <v>475</v>
      </c>
      <c r="L30" s="61">
        <v>475</v>
      </c>
      <c r="M30" s="61">
        <v>475</v>
      </c>
    </row>
    <row r="31" spans="3:13" x14ac:dyDescent="0.25">
      <c r="C31" t="s">
        <v>62</v>
      </c>
      <c r="D31" t="s">
        <v>80</v>
      </c>
      <c r="I31" s="61">
        <v>254</v>
      </c>
      <c r="J31" s="67"/>
      <c r="K31" s="61">
        <v>254</v>
      </c>
      <c r="L31" s="61">
        <v>254</v>
      </c>
      <c r="M31" s="61">
        <v>254</v>
      </c>
    </row>
    <row r="32" spans="3:13" x14ac:dyDescent="0.25">
      <c r="C32" t="s">
        <v>63</v>
      </c>
      <c r="D32" t="s">
        <v>80</v>
      </c>
      <c r="I32" s="61">
        <v>94</v>
      </c>
      <c r="J32" s="67"/>
      <c r="K32" s="61">
        <v>94</v>
      </c>
      <c r="L32" s="61">
        <v>94</v>
      </c>
      <c r="M32" s="61">
        <v>94</v>
      </c>
    </row>
    <row r="33" spans="3:13" x14ac:dyDescent="0.25">
      <c r="C33" t="s">
        <v>64</v>
      </c>
      <c r="D33" t="s">
        <v>80</v>
      </c>
      <c r="I33" s="61">
        <v>82</v>
      </c>
      <c r="J33" s="67"/>
      <c r="K33" s="61">
        <v>82</v>
      </c>
      <c r="L33" s="61">
        <v>82</v>
      </c>
      <c r="M33" s="61">
        <v>82</v>
      </c>
    </row>
    <row r="34" spans="3:13" x14ac:dyDescent="0.25">
      <c r="C34" t="s">
        <v>65</v>
      </c>
      <c r="D34" t="s">
        <v>80</v>
      </c>
      <c r="I34" s="61">
        <v>3434</v>
      </c>
      <c r="J34" s="67"/>
      <c r="K34" s="61">
        <v>3434</v>
      </c>
      <c r="L34" s="61">
        <v>3434</v>
      </c>
      <c r="M34" s="61">
        <v>3434</v>
      </c>
    </row>
    <row r="35" spans="3:13" x14ac:dyDescent="0.25">
      <c r="C35" t="s">
        <v>66</v>
      </c>
      <c r="D35" t="s">
        <v>80</v>
      </c>
      <c r="I35" s="61">
        <v>497</v>
      </c>
      <c r="J35" s="67"/>
      <c r="K35" s="61">
        <v>497</v>
      </c>
      <c r="L35" s="61">
        <v>497</v>
      </c>
      <c r="M35" s="61">
        <v>497</v>
      </c>
    </row>
    <row r="37" spans="3:13" ht="15.5" x14ac:dyDescent="0.35">
      <c r="C37" s="4" t="s">
        <v>94</v>
      </c>
    </row>
    <row r="39" spans="3:13" x14ac:dyDescent="0.25">
      <c r="C39" t="s">
        <v>96</v>
      </c>
      <c r="I39" s="60">
        <v>1.2395711371925175</v>
      </c>
      <c r="J39" s="68"/>
    </row>
    <row r="41" spans="3:13" x14ac:dyDescent="0.25">
      <c r="C41" s="3" t="s">
        <v>78</v>
      </c>
      <c r="D41" t="s">
        <v>70</v>
      </c>
      <c r="I41" s="60">
        <v>74.374268231551056</v>
      </c>
      <c r="J41" s="68"/>
      <c r="K41" s="60">
        <v>61.98</v>
      </c>
      <c r="L41" s="60">
        <v>61.98</v>
      </c>
      <c r="M41" s="60">
        <v>61.98</v>
      </c>
    </row>
    <row r="43" spans="3:13" x14ac:dyDescent="0.25">
      <c r="C43" s="3" t="s">
        <v>79</v>
      </c>
      <c r="D43" t="s">
        <v>70</v>
      </c>
      <c r="I43" s="60">
        <v>6.1978556859625877</v>
      </c>
      <c r="J43" s="68"/>
      <c r="K43" s="60">
        <v>5.1649999999999991</v>
      </c>
      <c r="L43" s="60">
        <v>5.1649999999999991</v>
      </c>
      <c r="M43" s="60">
        <v>5.1649999999999991</v>
      </c>
    </row>
    <row r="45" spans="3:13" x14ac:dyDescent="0.25">
      <c r="C45" s="3" t="s">
        <v>111</v>
      </c>
      <c r="D45" t="s">
        <v>70</v>
      </c>
      <c r="I45" s="60">
        <v>3945.7010725176847</v>
      </c>
      <c r="J45" s="68"/>
      <c r="K45" s="60">
        <v>3250.9750623900545</v>
      </c>
      <c r="L45" s="60">
        <v>3250.9750623900545</v>
      </c>
      <c r="M45" s="60">
        <v>3250.9750623900545</v>
      </c>
    </row>
    <row r="47" spans="3:13" x14ac:dyDescent="0.25">
      <c r="C47" s="3" t="s">
        <v>86</v>
      </c>
      <c r="D47" t="s">
        <v>80</v>
      </c>
      <c r="I47" s="61">
        <v>2048</v>
      </c>
      <c r="J47" s="67"/>
      <c r="K47" s="61">
        <v>2048</v>
      </c>
      <c r="L47" s="61">
        <v>2048</v>
      </c>
      <c r="M47" s="61">
        <v>2048</v>
      </c>
    </row>
    <row r="49" spans="3:15" x14ac:dyDescent="0.25">
      <c r="C49" s="3" t="s">
        <v>13</v>
      </c>
    </row>
    <row r="50" spans="3:15" x14ac:dyDescent="0.25">
      <c r="C50" t="s">
        <v>33</v>
      </c>
      <c r="D50" t="s">
        <v>29</v>
      </c>
      <c r="I50" s="60">
        <v>260.38575699272258</v>
      </c>
      <c r="J50" s="68"/>
      <c r="K50" s="25">
        <f>'Operating expenditure'!I45</f>
        <v>28.476836469800265</v>
      </c>
      <c r="L50" s="25">
        <f>'Operating expenditure'!I60</f>
        <v>27.751985248594728</v>
      </c>
      <c r="M50" s="25">
        <f>'Operating expenditure'!I75</f>
        <v>27.922797393321268</v>
      </c>
    </row>
    <row r="51" spans="3:15" x14ac:dyDescent="0.25">
      <c r="C51" t="s">
        <v>35</v>
      </c>
      <c r="D51" t="s">
        <v>29</v>
      </c>
      <c r="I51" s="60">
        <v>662.2102643794999</v>
      </c>
      <c r="J51" s="68"/>
      <c r="K51" s="25">
        <f>'Operating expenditure'!I47</f>
        <v>520.48119516392921</v>
      </c>
      <c r="L51" s="25">
        <f>'Operating expenditure'!I62</f>
        <v>517.27168005761735</v>
      </c>
      <c r="M51" s="25">
        <f>'Operating expenditure'!I77</f>
        <v>512.84065570210589</v>
      </c>
    </row>
    <row r="52" spans="3:15" x14ac:dyDescent="0.25">
      <c r="C52" t="s">
        <v>36</v>
      </c>
      <c r="D52" t="s">
        <v>29</v>
      </c>
      <c r="I52" s="60">
        <v>481.09580152227994</v>
      </c>
      <c r="J52" s="68"/>
      <c r="K52" s="25">
        <f>'Operating expenditure'!I48</f>
        <v>374.2620026053753</v>
      </c>
      <c r="L52" s="25">
        <f>'Operating expenditure'!I63</f>
        <v>371.74342360925965</v>
      </c>
      <c r="M52" s="25">
        <f>'Operating expenditure'!I78</f>
        <v>369.11159675396146</v>
      </c>
    </row>
    <row r="53" spans="3:15" x14ac:dyDescent="0.25">
      <c r="I53" s="60"/>
    </row>
    <row r="54" spans="3:15" x14ac:dyDescent="0.25">
      <c r="C54" s="3" t="s">
        <v>81</v>
      </c>
      <c r="I54" s="60"/>
    </row>
    <row r="55" spans="3:15" x14ac:dyDescent="0.25">
      <c r="C55" t="s">
        <v>33</v>
      </c>
      <c r="D55" t="s">
        <v>29</v>
      </c>
      <c r="I55" s="60">
        <v>49.596272332040613</v>
      </c>
      <c r="J55" s="68"/>
      <c r="K55" s="25">
        <f>'Operating expenditure'!H45</f>
        <v>60.750542321541765</v>
      </c>
      <c r="L55" s="25">
        <f>'Operating expenditure'!H60</f>
        <v>60.326984127178612</v>
      </c>
      <c r="M55" s="25">
        <f>'Operating expenditure'!H75</f>
        <v>59.869115783151045</v>
      </c>
    </row>
    <row r="56" spans="3:15" x14ac:dyDescent="0.25">
      <c r="C56" t="s">
        <v>35</v>
      </c>
      <c r="D56" t="s">
        <v>29</v>
      </c>
      <c r="I56" s="60">
        <v>117.17199779525843</v>
      </c>
      <c r="J56" s="68"/>
      <c r="K56" s="25">
        <f>'Operating expenditure'!H47</f>
        <v>150.3883059551209</v>
      </c>
      <c r="L56" s="25">
        <f>'Operating expenditure'!H62</f>
        <v>149.33978173305624</v>
      </c>
      <c r="M56" s="25">
        <f>'Operating expenditure'!H77</f>
        <v>148.20626887856781</v>
      </c>
    </row>
    <row r="57" spans="3:15" x14ac:dyDescent="0.25">
      <c r="C57" t="s">
        <v>36</v>
      </c>
      <c r="D57" t="s">
        <v>29</v>
      </c>
      <c r="I57" s="60">
        <v>204.12799766103817</v>
      </c>
      <c r="J57" s="68"/>
      <c r="K57" s="25">
        <f>'Operating expenditure'!H48</f>
        <v>83.300073700357729</v>
      </c>
      <c r="L57" s="25">
        <f>'Operating expenditure'!H63</f>
        <v>82.719305358529397</v>
      </c>
      <c r="M57" s="25">
        <f>'Operating expenditure'!H78</f>
        <v>82.091439608122059</v>
      </c>
    </row>
    <row r="58" spans="3:15" x14ac:dyDescent="0.25">
      <c r="O58" s="64"/>
    </row>
    <row r="59" spans="3:15" x14ac:dyDescent="0.25">
      <c r="C59" t="s">
        <v>83</v>
      </c>
      <c r="D59" t="s">
        <v>7</v>
      </c>
      <c r="I59" s="63">
        <v>1.7999999999999999E-2</v>
      </c>
      <c r="J59" s="69"/>
      <c r="K59" s="63">
        <v>3.5999999999999997E-2</v>
      </c>
      <c r="L59" s="63">
        <v>3.5999999999999997E-2</v>
      </c>
      <c r="M59" s="63">
        <v>3.5999999999999997E-2</v>
      </c>
    </row>
    <row r="62" spans="3:15" ht="20" x14ac:dyDescent="0.4">
      <c r="C62" s="62" t="s">
        <v>95</v>
      </c>
    </row>
    <row r="64" spans="3:15" x14ac:dyDescent="0.25">
      <c r="C64" s="3" t="s">
        <v>71</v>
      </c>
    </row>
    <row r="65" spans="3:13" x14ac:dyDescent="0.25">
      <c r="C65" t="s">
        <v>33</v>
      </c>
      <c r="D65" t="s">
        <v>70</v>
      </c>
      <c r="I65" s="25">
        <f>I50*1000</f>
        <v>260385.75699272257</v>
      </c>
      <c r="J65" s="70"/>
      <c r="K65" s="25">
        <f t="shared" ref="K65:M65" si="0">K50*1000</f>
        <v>28476.836469800266</v>
      </c>
      <c r="L65" s="25">
        <f t="shared" si="0"/>
        <v>27751.985248594727</v>
      </c>
      <c r="M65" s="25">
        <f t="shared" si="0"/>
        <v>27922.797393321267</v>
      </c>
    </row>
    <row r="66" spans="3:13" x14ac:dyDescent="0.25">
      <c r="C66" t="s">
        <v>35</v>
      </c>
      <c r="D66" t="s">
        <v>70</v>
      </c>
      <c r="I66" s="25">
        <f t="shared" ref="I66:M66" si="1">I51*1000</f>
        <v>662210.26437949995</v>
      </c>
      <c r="J66" s="70"/>
      <c r="K66" s="25">
        <f t="shared" si="1"/>
        <v>520481.19516392919</v>
      </c>
      <c r="L66" s="25">
        <f t="shared" si="1"/>
        <v>517271.68005761737</v>
      </c>
      <c r="M66" s="25">
        <f t="shared" si="1"/>
        <v>512840.6557021059</v>
      </c>
    </row>
    <row r="67" spans="3:13" x14ac:dyDescent="0.25">
      <c r="C67" t="s">
        <v>36</v>
      </c>
      <c r="D67" t="s">
        <v>70</v>
      </c>
      <c r="I67" s="25">
        <f t="shared" ref="I67:M67" si="2">I52*1000</f>
        <v>481095.80152227991</v>
      </c>
      <c r="J67" s="70"/>
      <c r="K67" s="25">
        <f t="shared" si="2"/>
        <v>374262.00260537531</v>
      </c>
      <c r="L67" s="25">
        <f t="shared" si="2"/>
        <v>371743.42360925965</v>
      </c>
      <c r="M67" s="25">
        <f t="shared" si="2"/>
        <v>369111.59675396146</v>
      </c>
    </row>
    <row r="68" spans="3:13" x14ac:dyDescent="0.25">
      <c r="C68" s="3" t="s">
        <v>10</v>
      </c>
      <c r="D68" t="s">
        <v>70</v>
      </c>
      <c r="I68" s="28">
        <f>SUM(I65:I67)</f>
        <v>1403691.8228945024</v>
      </c>
      <c r="J68" s="71"/>
      <c r="K68" s="28">
        <f t="shared" ref="K68:M68" si="3">SUM(K65:K67)</f>
        <v>923220.03423910472</v>
      </c>
      <c r="L68" s="28">
        <f t="shared" si="3"/>
        <v>916767.0889154718</v>
      </c>
      <c r="M68" s="28">
        <f t="shared" si="3"/>
        <v>909875.04984938866</v>
      </c>
    </row>
    <row r="70" spans="3:13" x14ac:dyDescent="0.25">
      <c r="C70" s="3" t="s">
        <v>72</v>
      </c>
    </row>
    <row r="71" spans="3:13" x14ac:dyDescent="0.25">
      <c r="C71" t="s">
        <v>33</v>
      </c>
      <c r="D71" t="s">
        <v>70</v>
      </c>
      <c r="I71" s="25">
        <f>I55*1000</f>
        <v>49596.272332040615</v>
      </c>
      <c r="J71" s="70"/>
      <c r="K71" s="25">
        <f t="shared" ref="K71:M71" si="4">K55*1000</f>
        <v>60750.542321541769</v>
      </c>
      <c r="L71" s="25">
        <f t="shared" si="4"/>
        <v>60326.984127178614</v>
      </c>
      <c r="M71" s="25">
        <f t="shared" si="4"/>
        <v>59869.115783151043</v>
      </c>
    </row>
    <row r="72" spans="3:13" x14ac:dyDescent="0.25">
      <c r="C72" t="s">
        <v>35</v>
      </c>
      <c r="D72" t="s">
        <v>70</v>
      </c>
      <c r="I72" s="25">
        <f t="shared" ref="I72:M72" si="5">I56*1000</f>
        <v>117171.99779525843</v>
      </c>
      <c r="J72" s="70"/>
      <c r="K72" s="25">
        <f t="shared" si="5"/>
        <v>150388.30595512089</v>
      </c>
      <c r="L72" s="25">
        <f t="shared" si="5"/>
        <v>149339.78173305624</v>
      </c>
      <c r="M72" s="25">
        <f t="shared" si="5"/>
        <v>148206.26887856782</v>
      </c>
    </row>
    <row r="73" spans="3:13" x14ac:dyDescent="0.25">
      <c r="C73" t="s">
        <v>36</v>
      </c>
      <c r="D73" t="s">
        <v>70</v>
      </c>
      <c r="I73" s="25">
        <f t="shared" ref="I73:M73" si="6">I57*1000</f>
        <v>204127.99766103816</v>
      </c>
      <c r="J73" s="70"/>
      <c r="K73" s="25">
        <f t="shared" si="6"/>
        <v>83300.073700357723</v>
      </c>
      <c r="L73" s="25">
        <f t="shared" si="6"/>
        <v>82719.305358529396</v>
      </c>
      <c r="M73" s="25">
        <f t="shared" si="6"/>
        <v>82091.439608122062</v>
      </c>
    </row>
    <row r="74" spans="3:13" x14ac:dyDescent="0.25">
      <c r="C74" s="3" t="s">
        <v>10</v>
      </c>
      <c r="D74" t="s">
        <v>70</v>
      </c>
      <c r="I74" s="28">
        <f>SUM(I71:I73)</f>
        <v>370896.26778833719</v>
      </c>
      <c r="J74" s="71"/>
      <c r="K74" s="28">
        <f t="shared" ref="K74" si="7">SUM(K71:K73)</f>
        <v>294438.92197702033</v>
      </c>
      <c r="L74" s="28">
        <f t="shared" ref="L74" si="8">SUM(L71:L73)</f>
        <v>292386.07121876423</v>
      </c>
      <c r="M74" s="28">
        <f t="shared" ref="M74" si="9">SUM(M71:M73)</f>
        <v>290166.8242698409</v>
      </c>
    </row>
    <row r="76" spans="3:13" x14ac:dyDescent="0.25">
      <c r="C76" s="3" t="s">
        <v>73</v>
      </c>
    </row>
    <row r="77" spans="3:13" x14ac:dyDescent="0.25">
      <c r="C77" s="3"/>
    </row>
    <row r="78" spans="3:13" x14ac:dyDescent="0.25">
      <c r="C78" t="s">
        <v>82</v>
      </c>
      <c r="D78" t="s">
        <v>70</v>
      </c>
      <c r="I78" s="103">
        <f>I45</f>
        <v>3945.7010725176847</v>
      </c>
      <c r="J78" s="72"/>
      <c r="K78" s="103">
        <f t="shared" ref="K78:M78" si="10">K45</f>
        <v>3250.9750623900545</v>
      </c>
      <c r="L78" s="103">
        <f t="shared" si="10"/>
        <v>3250.9750623900545</v>
      </c>
      <c r="M78" s="103">
        <f t="shared" si="10"/>
        <v>3250.9750623900545</v>
      </c>
    </row>
    <row r="79" spans="3:13" x14ac:dyDescent="0.25">
      <c r="C79" t="s">
        <v>114</v>
      </c>
      <c r="D79" t="s">
        <v>70</v>
      </c>
      <c r="I79" s="104">
        <f>I78*I59</f>
        <v>71.022619305318315</v>
      </c>
      <c r="J79" s="73"/>
      <c r="K79" s="104">
        <f t="shared" ref="K79:M79" si="11">K78*K59</f>
        <v>117.03510224604196</v>
      </c>
      <c r="L79" s="104">
        <f t="shared" si="11"/>
        <v>117.03510224604196</v>
      </c>
      <c r="M79" s="104">
        <f t="shared" si="11"/>
        <v>117.03510224604196</v>
      </c>
    </row>
    <row r="80" spans="3:13" x14ac:dyDescent="0.25">
      <c r="C80" s="3"/>
    </row>
    <row r="81" spans="3:13" ht="12" thickBot="1" x14ac:dyDescent="0.3">
      <c r="C81" t="s">
        <v>33</v>
      </c>
      <c r="D81" t="s">
        <v>70</v>
      </c>
      <c r="I81" s="105">
        <f>I79*I28</f>
        <v>13352.252429399843</v>
      </c>
      <c r="J81" s="74"/>
      <c r="K81" s="105">
        <f>K79*K28</f>
        <v>22002.599222255889</v>
      </c>
      <c r="L81" s="105">
        <f>L79*L28</f>
        <v>22002.599222255889</v>
      </c>
      <c r="M81" s="105">
        <f>M79*M28</f>
        <v>22002.599222255889</v>
      </c>
    </row>
    <row r="82" spans="3:13" ht="12.5" thickTop="1" thickBot="1" x14ac:dyDescent="0.3">
      <c r="C82" t="s">
        <v>35</v>
      </c>
      <c r="D82" t="s">
        <v>70</v>
      </c>
      <c r="I82" s="106">
        <f>I79*SUM(I29:I33)</f>
        <v>173934.39467872455</v>
      </c>
      <c r="J82" s="75"/>
      <c r="K82" s="106">
        <f>K79*SUM(K29:K33)</f>
        <v>286618.96540055674</v>
      </c>
      <c r="L82" s="106">
        <f>L79*SUM(L29:L33)</f>
        <v>286618.96540055674</v>
      </c>
      <c r="M82" s="106">
        <f>M79*SUM(M29:M33)</f>
        <v>286618.96540055674</v>
      </c>
    </row>
    <row r="83" spans="3:13" ht="12" thickTop="1" x14ac:dyDescent="0.25">
      <c r="C83" t="s">
        <v>36</v>
      </c>
      <c r="D83" t="s">
        <v>70</v>
      </c>
      <c r="I83" s="107">
        <f>I79*SUM(I34:I35)</f>
        <v>279189.91648920631</v>
      </c>
      <c r="J83" s="76"/>
      <c r="K83" s="107">
        <f>K79*SUM(K34:K35)</f>
        <v>460064.98692919093</v>
      </c>
      <c r="L83" s="107">
        <f>L79*SUM(L34:L35)</f>
        <v>460064.98692919093</v>
      </c>
      <c r="M83" s="107">
        <f>M79*SUM(M34:M35)</f>
        <v>460064.98692919093</v>
      </c>
    </row>
    <row r="84" spans="3:13" x14ac:dyDescent="0.25">
      <c r="C84" s="3" t="s">
        <v>10</v>
      </c>
      <c r="D84" t="s">
        <v>70</v>
      </c>
      <c r="I84" s="28">
        <f>SUM(I81:I83)</f>
        <v>466476.56359733071</v>
      </c>
      <c r="J84" s="71"/>
      <c r="K84" s="28">
        <f t="shared" ref="K84:M84" si="12">SUM(K81:K83)</f>
        <v>768686.55155200348</v>
      </c>
      <c r="L84" s="28">
        <f t="shared" si="12"/>
        <v>768686.55155200348</v>
      </c>
      <c r="M84" s="28">
        <f t="shared" si="12"/>
        <v>768686.55155200348</v>
      </c>
    </row>
    <row r="86" spans="3:13" x14ac:dyDescent="0.25">
      <c r="C86" s="3" t="s">
        <v>112</v>
      </c>
    </row>
    <row r="87" spans="3:13" x14ac:dyDescent="0.25">
      <c r="C87" s="3"/>
    </row>
    <row r="88" spans="3:13" x14ac:dyDescent="0.25">
      <c r="C88" t="s">
        <v>84</v>
      </c>
      <c r="D88" t="s">
        <v>70</v>
      </c>
      <c r="I88" s="108">
        <f>I43*SUM(I28:I35)</f>
        <v>40707.516145402275</v>
      </c>
      <c r="J88" s="77"/>
      <c r="K88" s="108">
        <f>K43*SUM(K28:K35)</f>
        <v>33923.719999999994</v>
      </c>
      <c r="L88" s="108">
        <f>L43*SUM(L28:L35)</f>
        <v>33923.719999999994</v>
      </c>
      <c r="M88" s="108">
        <f>M43*SUM(M28:M35)</f>
        <v>33923.719999999994</v>
      </c>
    </row>
    <row r="89" spans="3:13" x14ac:dyDescent="0.25">
      <c r="C89" t="s">
        <v>85</v>
      </c>
      <c r="D89" t="s">
        <v>70</v>
      </c>
      <c r="I89" s="109">
        <f>I88/SUM(I28:I35,I47)</f>
        <v>4.7246420781571814</v>
      </c>
      <c r="J89" s="78"/>
      <c r="K89" s="109">
        <f>K88/SUM(K28:K35,K47)</f>
        <v>3.9372934076137414</v>
      </c>
      <c r="L89" s="109">
        <f>L88/SUM(L28:L35,L47)</f>
        <v>3.9372934076137414</v>
      </c>
      <c r="M89" s="109">
        <f>M88/SUM(M28:M35,M47)</f>
        <v>3.9372934076137414</v>
      </c>
    </row>
    <row r="90" spans="3:13" x14ac:dyDescent="0.25">
      <c r="C90" s="3"/>
    </row>
    <row r="91" spans="3:13" ht="12" thickBot="1" x14ac:dyDescent="0.3">
      <c r="C91" t="s">
        <v>33</v>
      </c>
      <c r="D91" t="s">
        <v>70</v>
      </c>
      <c r="I91" s="105">
        <f>SUM(I41,I89)*I28</f>
        <v>14870.595138225148</v>
      </c>
      <c r="J91" s="74"/>
      <c r="K91" s="105">
        <f>SUM(K41,K89)*K28</f>
        <v>12392.451160631383</v>
      </c>
      <c r="L91" s="105">
        <f>SUM(L41,L89)*L28</f>
        <v>12392.451160631383</v>
      </c>
      <c r="M91" s="105">
        <f>SUM(M41,M89)*M28</f>
        <v>12392.451160631383</v>
      </c>
    </row>
    <row r="92" spans="3:13" ht="12.5" thickTop="1" thickBot="1" x14ac:dyDescent="0.3">
      <c r="C92" t="s">
        <v>35</v>
      </c>
      <c r="D92" t="s">
        <v>70</v>
      </c>
      <c r="I92" s="106">
        <f>SUM(I41,I89)*SUM(I29:I33)</f>
        <v>193713.23134847547</v>
      </c>
      <c r="J92" s="75"/>
      <c r="K92" s="106">
        <f>SUM(K41,K89)*SUM(K29:K33)</f>
        <v>161431.45155524605</v>
      </c>
      <c r="L92" s="106">
        <f>SUM(L41,L89)*SUM(L29:L33)</f>
        <v>161431.45155524605</v>
      </c>
      <c r="M92" s="106">
        <f>SUM(M41,M89)*SUM(M29:M33)</f>
        <v>161431.45155524605</v>
      </c>
    </row>
    <row r="93" spans="3:13" ht="12" thickTop="1" x14ac:dyDescent="0.25">
      <c r="C93" t="s">
        <v>36</v>
      </c>
      <c r="D93" t="s">
        <v>70</v>
      </c>
      <c r="I93" s="107">
        <f>SUM(I41,I89)*SUM(I34:I35)</f>
        <v>310937.81642746308</v>
      </c>
      <c r="J93" s="76"/>
      <c r="K93" s="107">
        <f>SUM(K41,K89)*SUM(K34:K35)</f>
        <v>259120.88038532963</v>
      </c>
      <c r="L93" s="107">
        <f>SUM(L41,L89)*SUM(L34:L35)</f>
        <v>259120.88038532963</v>
      </c>
      <c r="M93" s="107">
        <f>SUM(M41,M89)*SUM(M34:M35)</f>
        <v>259120.88038532963</v>
      </c>
    </row>
    <row r="94" spans="3:13" x14ac:dyDescent="0.25">
      <c r="C94" s="3" t="s">
        <v>10</v>
      </c>
      <c r="D94" t="s">
        <v>70</v>
      </c>
      <c r="I94" s="28">
        <f>SUM(I91:I93)</f>
        <v>519521.64291416371</v>
      </c>
      <c r="J94" s="71"/>
      <c r="K94" s="28">
        <f t="shared" ref="K94" si="13">SUM(K91:K93)</f>
        <v>432944.78310120705</v>
      </c>
      <c r="L94" s="28">
        <f t="shared" ref="L94" si="14">SUM(L91:L93)</f>
        <v>432944.78310120705</v>
      </c>
      <c r="M94" s="28">
        <f t="shared" ref="M94" si="15">SUM(M91:M93)</f>
        <v>432944.78310120705</v>
      </c>
    </row>
    <row r="97" spans="3:13" x14ac:dyDescent="0.25">
      <c r="C97" s="3" t="s">
        <v>87</v>
      </c>
    </row>
    <row r="98" spans="3:13" x14ac:dyDescent="0.25">
      <c r="C98" t="s">
        <v>33</v>
      </c>
      <c r="D98" t="s">
        <v>103</v>
      </c>
      <c r="I98" s="104">
        <f>SUM(I65,I71)/I23</f>
        <v>0.44897732869763413</v>
      </c>
      <c r="J98" s="73"/>
      <c r="K98" s="104">
        <f t="shared" ref="K98:M100" si="16">SUM(K65,K71)/K23</f>
        <v>0.12923100168244073</v>
      </c>
      <c r="L98" s="104">
        <f t="shared" si="16"/>
        <v>0.12756772185593651</v>
      </c>
      <c r="M98" s="104">
        <f t="shared" si="16"/>
        <v>0.12715196874655094</v>
      </c>
    </row>
    <row r="99" spans="3:13" x14ac:dyDescent="0.25">
      <c r="C99" t="s">
        <v>35</v>
      </c>
      <c r="D99" t="s">
        <v>103</v>
      </c>
      <c r="I99" s="104">
        <f>SUM(I66,I72)/I24</f>
        <v>0.33205076997771721</v>
      </c>
      <c r="J99" s="73"/>
      <c r="K99" s="104">
        <f t="shared" si="16"/>
        <v>0.28611580333129533</v>
      </c>
      <c r="L99" s="104">
        <f t="shared" si="16"/>
        <v>0.28429981327507353</v>
      </c>
      <c r="M99" s="104">
        <f t="shared" si="16"/>
        <v>0.28192662142278285</v>
      </c>
    </row>
    <row r="100" spans="3:13" x14ac:dyDescent="0.25">
      <c r="C100" t="s">
        <v>36</v>
      </c>
      <c r="D100" t="s">
        <v>103</v>
      </c>
      <c r="I100" s="104">
        <f>SUM(I67,I73)/I25</f>
        <v>0.25339795490816419</v>
      </c>
      <c r="J100" s="73"/>
      <c r="K100" s="104">
        <f t="shared" si="16"/>
        <v>0.16910442171195167</v>
      </c>
      <c r="L100" s="104">
        <f t="shared" si="16"/>
        <v>0.16795897420568304</v>
      </c>
      <c r="M100" s="104">
        <f t="shared" si="16"/>
        <v>0.16675426677560695</v>
      </c>
    </row>
    <row r="103" spans="3:13" x14ac:dyDescent="0.25">
      <c r="C103" s="3" t="s">
        <v>113</v>
      </c>
    </row>
    <row r="104" spans="3:13" ht="12" thickBot="1" x14ac:dyDescent="0.3">
      <c r="C104" t="s">
        <v>33</v>
      </c>
      <c r="D104" t="s">
        <v>103</v>
      </c>
      <c r="I104" s="110">
        <f>SUM(I81,I91)/I13</f>
        <v>0.38635501605258105</v>
      </c>
      <c r="J104" s="79"/>
      <c r="K104" s="110">
        <f>SUM(K81,K91)/K13</f>
        <v>0.38014191483029058</v>
      </c>
      <c r="L104" s="110">
        <f>SUM(L81,L91)/L13</f>
        <v>0.38014191483029058</v>
      </c>
      <c r="M104" s="110">
        <f>SUM(M81,M91)/M13</f>
        <v>0.38014191483029058</v>
      </c>
    </row>
    <row r="105" spans="3:13" ht="12.5" thickTop="1" thickBot="1" x14ac:dyDescent="0.3">
      <c r="C105" t="s">
        <v>35</v>
      </c>
      <c r="D105" t="s">
        <v>103</v>
      </c>
      <c r="I105" s="111">
        <f>SUM(I82,I92)/SUM(I14:I18)</f>
        <v>0.23431620114497967</v>
      </c>
      <c r="J105" s="80"/>
      <c r="K105" s="111">
        <f>SUM(K82,K92)/SUM(K14:K18)</f>
        <v>0.32123641983766643</v>
      </c>
      <c r="L105" s="111">
        <f>SUM(L82,L92)/SUM(L14:L18)</f>
        <v>0.32123641983766643</v>
      </c>
      <c r="M105" s="111">
        <f>SUM(M82,M92)/SUM(M14:M18)</f>
        <v>0.32123641983766643</v>
      </c>
    </row>
    <row r="106" spans="3:13" ht="12" thickTop="1" x14ac:dyDescent="0.25">
      <c r="C106" t="s">
        <v>36</v>
      </c>
      <c r="D106" t="s">
        <v>103</v>
      </c>
      <c r="I106" s="112">
        <f>SUM(I83,I93)/SUM(I19:I20)</f>
        <v>0.36797108056365296</v>
      </c>
      <c r="J106" s="81"/>
      <c r="K106" s="112">
        <f>SUM(K83,K93)/SUM(K19:K20)</f>
        <v>0.47063545621810332</v>
      </c>
      <c r="L106" s="112">
        <f>SUM(L83,L93)/SUM(L19:L20)</f>
        <v>0.47063545621810332</v>
      </c>
      <c r="M106" s="112">
        <f>SUM(M83,M93)/SUM(M19:M20)</f>
        <v>0.47063545621810332</v>
      </c>
    </row>
    <row r="109" spans="3:13" x14ac:dyDescent="0.25">
      <c r="C109" s="3" t="s">
        <v>69</v>
      </c>
    </row>
    <row r="110" spans="3:13" x14ac:dyDescent="0.25">
      <c r="C110" t="s">
        <v>33</v>
      </c>
      <c r="D110" t="s">
        <v>103</v>
      </c>
      <c r="I110" s="104">
        <f>SUM(I98,I104)</f>
        <v>0.83533234475021523</v>
      </c>
      <c r="J110" s="73"/>
      <c r="K110" s="104">
        <f t="shared" ref="K110:L110" si="17">SUM(K98,K104)</f>
        <v>0.50937291651273131</v>
      </c>
      <c r="L110" s="104">
        <f t="shared" si="17"/>
        <v>0.50770963668622704</v>
      </c>
      <c r="M110" s="104">
        <f>SUM(M98,M104)</f>
        <v>0.50729388357684146</v>
      </c>
    </row>
    <row r="111" spans="3:13" x14ac:dyDescent="0.25">
      <c r="C111" t="s">
        <v>35</v>
      </c>
      <c r="D111" t="s">
        <v>103</v>
      </c>
      <c r="I111" s="104">
        <f t="shared" ref="I111:M111" si="18">SUM(I99,I105)</f>
        <v>0.56636697112269685</v>
      </c>
      <c r="J111" s="73"/>
      <c r="K111" s="104">
        <f t="shared" si="18"/>
        <v>0.60735222316896176</v>
      </c>
      <c r="L111" s="104">
        <f t="shared" si="18"/>
        <v>0.60553623311273996</v>
      </c>
      <c r="M111" s="104">
        <f t="shared" si="18"/>
        <v>0.60316304126044928</v>
      </c>
    </row>
    <row r="112" spans="3:13" x14ac:dyDescent="0.25">
      <c r="C112" t="s">
        <v>36</v>
      </c>
      <c r="D112" t="s">
        <v>103</v>
      </c>
      <c r="I112" s="104">
        <f t="shared" ref="I112:M112" si="19">SUM(I100,I106)</f>
        <v>0.6213690354718171</v>
      </c>
      <c r="J112" s="73"/>
      <c r="K112" s="104">
        <f t="shared" si="19"/>
        <v>0.63973987793005493</v>
      </c>
      <c r="L112" s="104">
        <f t="shared" si="19"/>
        <v>0.63859443042378639</v>
      </c>
      <c r="M112" s="104">
        <f t="shared" si="19"/>
        <v>0.63738972299371022</v>
      </c>
    </row>
    <row r="115" spans="3:13" ht="20" x14ac:dyDescent="0.4">
      <c r="C115" s="62" t="s">
        <v>88</v>
      </c>
    </row>
    <row r="117" spans="3:13" x14ac:dyDescent="0.25">
      <c r="C117" s="3" t="s">
        <v>68</v>
      </c>
    </row>
    <row r="118" spans="3:13" ht="12" thickBot="1" x14ac:dyDescent="0.3">
      <c r="C118" t="s">
        <v>59</v>
      </c>
      <c r="D118" t="s">
        <v>70</v>
      </c>
      <c r="I118" s="61">
        <v>59371.23328</v>
      </c>
      <c r="K118" s="105">
        <f>K110*K13</f>
        <v>46087.806799613674</v>
      </c>
      <c r="L118" s="105">
        <f>L110*L13</f>
        <v>45937.314072551482</v>
      </c>
      <c r="M118" s="105">
        <f>M110*M13</f>
        <v>45899.696939090827</v>
      </c>
    </row>
    <row r="119" spans="3:13" ht="12" thickTop="1" x14ac:dyDescent="0.25">
      <c r="C119" t="s">
        <v>60</v>
      </c>
      <c r="D119" t="s">
        <v>70</v>
      </c>
      <c r="I119" s="61">
        <v>778174.96576000005</v>
      </c>
      <c r="K119" s="107">
        <f t="shared" ref="K119:M123" si="20">K$111*K14</f>
        <v>764342.14419423288</v>
      </c>
      <c r="L119" s="107">
        <f t="shared" si="20"/>
        <v>762056.75248830381</v>
      </c>
      <c r="M119" s="107">
        <f t="shared" si="20"/>
        <v>759070.13207305339</v>
      </c>
    </row>
    <row r="120" spans="3:13" x14ac:dyDescent="0.25">
      <c r="C120" t="s">
        <v>61</v>
      </c>
      <c r="D120" t="s">
        <v>70</v>
      </c>
      <c r="I120" s="61">
        <v>19658.787840000001</v>
      </c>
      <c r="K120" s="25">
        <f t="shared" si="20"/>
        <v>16483.600072027937</v>
      </c>
      <c r="L120" s="25">
        <f t="shared" si="20"/>
        <v>16434.313920303073</v>
      </c>
      <c r="M120" s="25">
        <f t="shared" si="20"/>
        <v>16369.905256112719</v>
      </c>
    </row>
    <row r="121" spans="3:13" x14ac:dyDescent="0.25">
      <c r="C121" t="s">
        <v>62</v>
      </c>
      <c r="D121" t="s">
        <v>70</v>
      </c>
      <c r="I121" s="61">
        <v>38914.355200000005</v>
      </c>
      <c r="K121" s="25">
        <f t="shared" si="20"/>
        <v>40462.412459739404</v>
      </c>
      <c r="L121" s="25">
        <f t="shared" si="20"/>
        <v>40341.429386203847</v>
      </c>
      <c r="M121" s="25">
        <f t="shared" si="20"/>
        <v>40183.324971812392</v>
      </c>
    </row>
    <row r="122" spans="3:13" x14ac:dyDescent="0.25">
      <c r="C122" t="s">
        <v>63</v>
      </c>
      <c r="D122" t="s">
        <v>70</v>
      </c>
      <c r="I122" s="61">
        <v>20535.613440000001</v>
      </c>
      <c r="K122" s="25">
        <f t="shared" si="20"/>
        <v>21852.958136175461</v>
      </c>
      <c r="L122" s="25">
        <f t="shared" si="20"/>
        <v>21787.617542759563</v>
      </c>
      <c r="M122" s="25">
        <f t="shared" si="20"/>
        <v>21702.228438679846</v>
      </c>
    </row>
    <row r="123" spans="3:13" ht="12" thickBot="1" x14ac:dyDescent="0.3">
      <c r="C123" t="s">
        <v>64</v>
      </c>
      <c r="D123" t="s">
        <v>70</v>
      </c>
      <c r="I123" s="61">
        <v>7351.0195200000007</v>
      </c>
      <c r="K123" s="105">
        <f t="shared" si="20"/>
        <v>3974.5919042066976</v>
      </c>
      <c r="L123" s="105">
        <f t="shared" si="20"/>
        <v>3962.7078292000751</v>
      </c>
      <c r="M123" s="105">
        <f t="shared" si="20"/>
        <v>3947.1773532037441</v>
      </c>
    </row>
    <row r="124" spans="3:13" ht="12" thickTop="1" x14ac:dyDescent="0.25">
      <c r="C124" t="s">
        <v>65</v>
      </c>
      <c r="D124" t="s">
        <v>70</v>
      </c>
      <c r="I124" s="61">
        <v>678714.31168000004</v>
      </c>
      <c r="K124" s="107">
        <f t="shared" ref="K124:M125" si="21">K$112*K19</f>
        <v>677766.03546641371</v>
      </c>
      <c r="L124" s="107">
        <f t="shared" si="21"/>
        <v>676552.50252600922</v>
      </c>
      <c r="M124" s="107">
        <f t="shared" si="21"/>
        <v>675276.18725014804</v>
      </c>
    </row>
    <row r="125" spans="3:13" x14ac:dyDescent="0.25">
      <c r="C125" t="s">
        <v>66</v>
      </c>
      <c r="D125" t="s">
        <v>70</v>
      </c>
      <c r="I125" s="61">
        <v>290874.66496000002</v>
      </c>
      <c r="K125" s="25">
        <f t="shared" si="21"/>
        <v>299831.11087267316</v>
      </c>
      <c r="L125" s="25">
        <f t="shared" si="21"/>
        <v>299294.26642995677</v>
      </c>
      <c r="M125" s="25">
        <f t="shared" si="21"/>
        <v>298729.64824763389</v>
      </c>
    </row>
    <row r="128" spans="3:13" x14ac:dyDescent="0.25">
      <c r="C128" t="s">
        <v>89</v>
      </c>
      <c r="I128" s="63">
        <v>3.4000000000000002E-2</v>
      </c>
    </row>
    <row r="130" spans="3:13" x14ac:dyDescent="0.25">
      <c r="C130" s="3" t="s">
        <v>67</v>
      </c>
    </row>
    <row r="131" spans="3:13" x14ac:dyDescent="0.25">
      <c r="C131" t="s">
        <v>59</v>
      </c>
      <c r="D131" t="s">
        <v>70</v>
      </c>
      <c r="I131" s="25">
        <f>I118*(1+$I$128)</f>
        <v>61389.85521152</v>
      </c>
      <c r="J131" s="70"/>
      <c r="K131" s="25">
        <f t="shared" ref="K131:M131" si="22">K118*(1+$I$128)</f>
        <v>47654.792230800544</v>
      </c>
      <c r="L131" s="25">
        <f t="shared" si="22"/>
        <v>47499.182751018234</v>
      </c>
      <c r="M131" s="25">
        <f t="shared" si="22"/>
        <v>47460.286635019918</v>
      </c>
    </row>
    <row r="132" spans="3:13" x14ac:dyDescent="0.25">
      <c r="C132" t="s">
        <v>60</v>
      </c>
      <c r="D132" t="s">
        <v>70</v>
      </c>
      <c r="I132" s="25">
        <f t="shared" ref="I132:I138" si="23">I119*(1+$I$128)</f>
        <v>804632.91459584003</v>
      </c>
      <c r="J132" s="70"/>
      <c r="K132" s="25">
        <f t="shared" ref="K132:M132" si="24">K119*(1+$I$128)</f>
        <v>790329.77709683683</v>
      </c>
      <c r="L132" s="25">
        <f t="shared" si="24"/>
        <v>787966.68207290617</v>
      </c>
      <c r="M132" s="25">
        <f t="shared" si="24"/>
        <v>784878.51656353718</v>
      </c>
    </row>
    <row r="133" spans="3:13" x14ac:dyDescent="0.25">
      <c r="C133" t="s">
        <v>61</v>
      </c>
      <c r="D133" t="s">
        <v>70</v>
      </c>
      <c r="I133" s="25">
        <f t="shared" si="23"/>
        <v>20327.18662656</v>
      </c>
      <c r="J133" s="70"/>
      <c r="K133" s="25">
        <f t="shared" ref="K133:M133" si="25">K120*(1+$I$128)</f>
        <v>17044.042474476886</v>
      </c>
      <c r="L133" s="25">
        <f t="shared" si="25"/>
        <v>16993.080593593379</v>
      </c>
      <c r="M133" s="25">
        <f t="shared" si="25"/>
        <v>16926.48203482055</v>
      </c>
    </row>
    <row r="134" spans="3:13" x14ac:dyDescent="0.25">
      <c r="C134" t="s">
        <v>62</v>
      </c>
      <c r="D134" t="s">
        <v>70</v>
      </c>
      <c r="I134" s="25">
        <f t="shared" si="23"/>
        <v>40237.443276800004</v>
      </c>
      <c r="J134" s="70"/>
      <c r="K134" s="25">
        <f t="shared" ref="K134:M134" si="26">K121*(1+$I$128)</f>
        <v>41838.134483370544</v>
      </c>
      <c r="L134" s="25">
        <f t="shared" si="26"/>
        <v>41713.037985334777</v>
      </c>
      <c r="M134" s="25">
        <f t="shared" si="26"/>
        <v>41549.558020854012</v>
      </c>
    </row>
    <row r="135" spans="3:13" x14ac:dyDescent="0.25">
      <c r="C135" t="s">
        <v>63</v>
      </c>
      <c r="D135" t="s">
        <v>70</v>
      </c>
      <c r="I135" s="25">
        <f t="shared" si="23"/>
        <v>21233.824296960003</v>
      </c>
      <c r="J135" s="70"/>
      <c r="K135" s="25">
        <f t="shared" ref="K135:M135" si="27">K122*(1+$I$128)</f>
        <v>22595.958712805426</v>
      </c>
      <c r="L135" s="25">
        <f t="shared" si="27"/>
        <v>22528.396539213387</v>
      </c>
      <c r="M135" s="25">
        <f t="shared" si="27"/>
        <v>22440.104205594962</v>
      </c>
    </row>
    <row r="136" spans="3:13" x14ac:dyDescent="0.25">
      <c r="C136" t="s">
        <v>64</v>
      </c>
      <c r="D136" t="s">
        <v>70</v>
      </c>
      <c r="I136" s="25">
        <f t="shared" si="23"/>
        <v>7600.9541836800008</v>
      </c>
      <c r="J136" s="70"/>
      <c r="K136" s="25">
        <f t="shared" ref="K136:M136" si="28">K123*(1+$I$128)</f>
        <v>4109.7280289497257</v>
      </c>
      <c r="L136" s="25">
        <f t="shared" si="28"/>
        <v>4097.4398953928776</v>
      </c>
      <c r="M136" s="25">
        <f t="shared" si="28"/>
        <v>4081.3813832126716</v>
      </c>
    </row>
    <row r="137" spans="3:13" x14ac:dyDescent="0.25">
      <c r="C137" t="s">
        <v>65</v>
      </c>
      <c r="D137" t="s">
        <v>70</v>
      </c>
      <c r="I137" s="25">
        <f t="shared" si="23"/>
        <v>701790.59827712004</v>
      </c>
      <c r="J137" s="70"/>
      <c r="K137" s="25">
        <f t="shared" ref="K137:M137" si="29">K124*(1+$I$128)</f>
        <v>700810.08067227178</v>
      </c>
      <c r="L137" s="25">
        <f t="shared" si="29"/>
        <v>699555.28761189361</v>
      </c>
      <c r="M137" s="25">
        <f t="shared" si="29"/>
        <v>698235.57761665306</v>
      </c>
    </row>
    <row r="138" spans="3:13" x14ac:dyDescent="0.25">
      <c r="C138" t="s">
        <v>66</v>
      </c>
      <c r="D138" t="s">
        <v>70</v>
      </c>
      <c r="I138" s="25">
        <f t="shared" si="23"/>
        <v>300764.40356864006</v>
      </c>
      <c r="J138" s="70"/>
      <c r="K138" s="25">
        <f t="shared" ref="K138:L138" si="30">K125*(1+$I$128)</f>
        <v>310025.36864234408</v>
      </c>
      <c r="L138" s="25">
        <f t="shared" si="30"/>
        <v>309470.27148857532</v>
      </c>
      <c r="M138" s="25">
        <f>M125*(1+$I$128)</f>
        <v>308886.45628805342</v>
      </c>
    </row>
    <row r="140" spans="3:13" x14ac:dyDescent="0.25">
      <c r="I140" s="59"/>
      <c r="J140" s="65"/>
      <c r="K140" s="59"/>
      <c r="L140" s="59"/>
      <c r="M140" s="59"/>
    </row>
  </sheetData>
  <phoneticPr fontId="2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81B4928CB16949964B87CC125011FF" ma:contentTypeVersion="3" ma:contentTypeDescription="Create a new document." ma:contentTypeScope="" ma:versionID="d8ea66c473867c06dc982c9a49fbd494">
  <xsd:schema xmlns:xsd="http://www.w3.org/2001/XMLSchema" xmlns:xs="http://www.w3.org/2001/XMLSchema" xmlns:p="http://schemas.microsoft.com/office/2006/metadata/properties" xmlns:ns2="2ea96691-6b77-48a3-b679-9b18eb43fcc3" targetNamespace="http://schemas.microsoft.com/office/2006/metadata/properties" ma:root="true" ma:fieldsID="26777040f2378f75f909b59043c2804b" ns2:_="">
    <xsd:import namespace="2ea96691-6b77-48a3-b679-9b18eb43fc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691-6b77-48a3-b679-9b18eb43f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2686B-109C-4C2E-9EB9-58A7DA8EFFF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ea96691-6b77-48a3-b679-9b18eb43fcc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1CA3B4-2643-4B29-88B8-A7FA9A811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691-6b77-48a3-b679-9b18eb43fc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24545-89A4-45ED-9194-47AEDC4BF9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</vt:lpstr>
      <vt:lpstr>Operating expenditure</vt:lpstr>
      <vt:lpstr>Capital expenditure</vt:lpstr>
      <vt:lpstr>ICD rebates</vt:lpstr>
      <vt:lpstr>Cover!Print_Area</vt:lpstr>
    </vt:vector>
  </TitlesOfParts>
  <Company>IPART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McLennan</dc:creator>
  <cp:lastModifiedBy>Maria Tortura</cp:lastModifiedBy>
  <cp:lastPrinted>2019-12-06T02:18:50Z</cp:lastPrinted>
  <dcterms:created xsi:type="dcterms:W3CDTF">2014-05-19T07:21:06Z</dcterms:created>
  <dcterms:modified xsi:type="dcterms:W3CDTF">2026-04-30T06:05:19Z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0x0101007081B4928CB16949964B87CC125011FF</vt:lpwstr>
  </property>
</Properties>
</file>