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20730" windowHeight="7770" activeTab="6"/>
  </bookViews>
  <sheets>
    <sheet name="Op Perf" sheetId="2" r:id="rId1"/>
    <sheet name="Own Source Rev" sheetId="3" r:id="rId2"/>
    <sheet name="Debt Service" sheetId="5" r:id="rId3"/>
    <sheet name="Op Exp Per Capita" sheetId="6" r:id="rId4"/>
    <sheet name="Asset Maint" sheetId="7" r:id="rId5"/>
    <sheet name="Asset Renewal" sheetId="8" r:id="rId6"/>
    <sheet name="Infra Backlog" sheetId="9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F35" i="6" l="1"/>
  <c r="R4" i="5"/>
  <c r="AB2" i="5"/>
  <c r="R2" i="5"/>
  <c r="S2" i="5"/>
  <c r="T2" i="5"/>
  <c r="U2" i="5"/>
  <c r="V2" i="5"/>
  <c r="W2" i="5"/>
  <c r="X2" i="5"/>
  <c r="Y2" i="5"/>
  <c r="Z2" i="5"/>
  <c r="AA2" i="5"/>
  <c r="Q2" i="5"/>
  <c r="AB2" i="7"/>
  <c r="R2" i="7"/>
  <c r="S2" i="7"/>
  <c r="T2" i="7"/>
  <c r="U2" i="7"/>
  <c r="V2" i="7"/>
  <c r="W2" i="7"/>
  <c r="X2" i="7"/>
  <c r="Y2" i="7"/>
  <c r="Z2" i="7"/>
  <c r="AA2" i="7"/>
  <c r="Q2" i="7"/>
  <c r="R3" i="9"/>
  <c r="S3" i="9"/>
  <c r="T3" i="9"/>
  <c r="U3" i="9"/>
  <c r="V3" i="9"/>
  <c r="W3" i="9"/>
  <c r="X3" i="9"/>
  <c r="Y3" i="9"/>
  <c r="Z3" i="9"/>
  <c r="AA3" i="9"/>
  <c r="AB3" i="9"/>
  <c r="AB2" i="9"/>
  <c r="R2" i="9"/>
  <c r="S2" i="9"/>
  <c r="T2" i="9"/>
  <c r="U2" i="9"/>
  <c r="V2" i="9"/>
  <c r="W2" i="9"/>
  <c r="X2" i="9"/>
  <c r="Y2" i="9"/>
  <c r="Z2" i="9"/>
  <c r="AA2" i="9"/>
  <c r="Q2" i="9"/>
  <c r="U2" i="8"/>
  <c r="V2" i="8"/>
  <c r="W2" i="8"/>
  <c r="X2" i="8"/>
  <c r="Y2" i="8"/>
  <c r="Z2" i="8"/>
  <c r="AA2" i="8"/>
  <c r="AB2" i="8"/>
  <c r="R2" i="8"/>
  <c r="S2" i="8"/>
  <c r="T2" i="8"/>
  <c r="Q2" i="8"/>
  <c r="U2" i="3"/>
  <c r="V2" i="3"/>
  <c r="W2" i="3"/>
  <c r="X2" i="3"/>
  <c r="Y2" i="3"/>
  <c r="Z2" i="3"/>
  <c r="AA2" i="3"/>
  <c r="AB2" i="3"/>
  <c r="S2" i="3"/>
  <c r="T2" i="3"/>
  <c r="R2" i="3"/>
  <c r="Q2" i="3"/>
  <c r="Q2" i="2"/>
  <c r="R2" i="2"/>
  <c r="S2" i="2"/>
  <c r="T2" i="2"/>
  <c r="U2" i="2"/>
  <c r="V2" i="2"/>
  <c r="W2" i="2"/>
  <c r="X2" i="2"/>
  <c r="Y2" i="2"/>
  <c r="Z2" i="2"/>
  <c r="AA2" i="2"/>
  <c r="AB2" i="2"/>
  <c r="Q3" i="9" l="1"/>
  <c r="B3" i="9"/>
  <c r="C3" i="9"/>
  <c r="D3" i="9"/>
  <c r="B1" i="9"/>
  <c r="C1" i="9"/>
  <c r="D1" i="9"/>
  <c r="B72" i="8" l="1"/>
  <c r="Q3" i="7" l="1"/>
  <c r="Q4" i="5"/>
  <c r="B39" i="5"/>
  <c r="C39" i="5"/>
  <c r="D39" i="5"/>
  <c r="B37" i="5"/>
  <c r="C37" i="5"/>
  <c r="D37" i="5"/>
  <c r="B37" i="3"/>
  <c r="C37" i="3" l="1"/>
  <c r="B35" i="3" l="1"/>
  <c r="C35" i="3"/>
  <c r="Q3" i="2"/>
  <c r="C3" i="2" l="1"/>
  <c r="E35" i="6" l="1"/>
  <c r="E3" i="6" l="1"/>
  <c r="B3" i="6"/>
  <c r="C3" i="6"/>
  <c r="D3" i="6"/>
  <c r="Q3" i="6" l="1"/>
  <c r="R3" i="6"/>
  <c r="E66" i="7" l="1"/>
  <c r="H66" i="7"/>
  <c r="I66" i="7"/>
  <c r="J66" i="7"/>
  <c r="K66" i="7"/>
  <c r="L66" i="7"/>
  <c r="M66" i="7"/>
  <c r="N66" i="7"/>
  <c r="O66" i="7"/>
  <c r="G66" i="7"/>
  <c r="F66" i="7"/>
  <c r="O56" i="9" l="1"/>
  <c r="O38" i="9"/>
  <c r="O98" i="7"/>
  <c r="G103" i="7"/>
  <c r="H103" i="7"/>
  <c r="I103" i="7"/>
  <c r="J103" i="7"/>
  <c r="K103" i="7"/>
  <c r="L103" i="7"/>
  <c r="M103" i="7"/>
  <c r="N103" i="7"/>
  <c r="O103" i="7"/>
  <c r="F103" i="7"/>
  <c r="F58" i="9" l="1"/>
  <c r="E58" i="9"/>
  <c r="D58" i="9"/>
  <c r="C58" i="9"/>
  <c r="B58" i="9"/>
  <c r="I58" i="9"/>
  <c r="H58" i="9"/>
  <c r="G58" i="9"/>
  <c r="E40" i="9"/>
  <c r="D40" i="9"/>
  <c r="C40" i="9"/>
  <c r="B40" i="9"/>
  <c r="N40" i="9"/>
  <c r="F40" i="9"/>
  <c r="M40" i="9"/>
  <c r="L40" i="9"/>
  <c r="K40" i="9"/>
  <c r="J40" i="9"/>
  <c r="I40" i="9"/>
  <c r="O1" i="9"/>
  <c r="N1" i="9"/>
  <c r="M1" i="9"/>
  <c r="L1" i="9"/>
  <c r="K1" i="9"/>
  <c r="J1" i="9"/>
  <c r="I1" i="9"/>
  <c r="H1" i="9"/>
  <c r="G1" i="9"/>
  <c r="F1" i="9"/>
  <c r="E1" i="9"/>
  <c r="I3" i="9" l="1"/>
  <c r="K58" i="9"/>
  <c r="K3" i="9" s="1"/>
  <c r="E3" i="9"/>
  <c r="J58" i="9"/>
  <c r="J3" i="9" s="1"/>
  <c r="F3" i="9"/>
  <c r="G40" i="9"/>
  <c r="G3" i="9" s="1"/>
  <c r="O40" i="9"/>
  <c r="H40" i="9"/>
  <c r="H3" i="9" s="1"/>
  <c r="L58" i="9" l="1"/>
  <c r="E70" i="8"/>
  <c r="D70" i="8"/>
  <c r="D72" i="8" s="1"/>
  <c r="C70" i="8"/>
  <c r="C72" i="8" s="1"/>
  <c r="B70" i="8"/>
  <c r="E56" i="8"/>
  <c r="A54" i="8"/>
  <c r="A53" i="8"/>
  <c r="A52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E72" i="8" l="1"/>
  <c r="M58" i="9"/>
  <c r="L3" i="9"/>
  <c r="B3" i="8"/>
  <c r="D3" i="8"/>
  <c r="E3" i="8"/>
  <c r="C3" i="8"/>
  <c r="R3" i="8" l="1"/>
  <c r="Q3" i="8"/>
  <c r="N58" i="9"/>
  <c r="O58" i="9"/>
  <c r="M3" i="9"/>
  <c r="A83" i="7"/>
  <c r="A82" i="7"/>
  <c r="A81" i="7"/>
  <c r="A80" i="7"/>
  <c r="A79" i="7"/>
  <c r="A73" i="7"/>
  <c r="A96" i="7"/>
  <c r="B98" i="7"/>
  <c r="C98" i="7"/>
  <c r="D98" i="7"/>
  <c r="A95" i="7"/>
  <c r="A94" i="7"/>
  <c r="A93" i="7"/>
  <c r="A92" i="7"/>
  <c r="A91" i="7"/>
  <c r="A90" i="7"/>
  <c r="A89" i="7"/>
  <c r="A88" i="7"/>
  <c r="A86" i="7"/>
  <c r="A87" i="7"/>
  <c r="A85" i="7"/>
  <c r="A84" i="7"/>
  <c r="A69" i="7"/>
  <c r="A78" i="7"/>
  <c r="A77" i="7"/>
  <c r="A76" i="7"/>
  <c r="A75" i="7"/>
  <c r="A74" i="7"/>
  <c r="A72" i="7"/>
  <c r="A71" i="7"/>
  <c r="A70" i="7"/>
  <c r="B64" i="7"/>
  <c r="B101" i="7" s="1"/>
  <c r="C64" i="7"/>
  <c r="C101" i="7" s="1"/>
  <c r="D64" i="7"/>
  <c r="D101" i="7" s="1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O3" i="9" l="1"/>
  <c r="N3" i="9"/>
  <c r="C3" i="7"/>
  <c r="D3" i="7"/>
  <c r="B3" i="7"/>
  <c r="G29" i="6"/>
  <c r="H29" i="6"/>
  <c r="I29" i="6"/>
  <c r="J29" i="6"/>
  <c r="K29" i="6"/>
  <c r="L29" i="6"/>
  <c r="M29" i="6"/>
  <c r="N29" i="6"/>
  <c r="O29" i="6"/>
  <c r="F29" i="6"/>
  <c r="A33" i="6"/>
  <c r="O1" i="6"/>
  <c r="AB2" i="6" s="1"/>
  <c r="N1" i="6"/>
  <c r="AA2" i="6" s="1"/>
  <c r="M1" i="6"/>
  <c r="Z2" i="6" s="1"/>
  <c r="L1" i="6"/>
  <c r="Y2" i="6" s="1"/>
  <c r="K1" i="6"/>
  <c r="X2" i="6" s="1"/>
  <c r="J1" i="6"/>
  <c r="W2" i="6" s="1"/>
  <c r="I1" i="6"/>
  <c r="V2" i="6" s="1"/>
  <c r="H1" i="6"/>
  <c r="U2" i="6" s="1"/>
  <c r="G1" i="6"/>
  <c r="T2" i="6" s="1"/>
  <c r="F1" i="6"/>
  <c r="S2" i="6" s="1"/>
  <c r="E1" i="6"/>
  <c r="R2" i="6" s="1"/>
  <c r="D1" i="6"/>
  <c r="Q2" i="6" s="1"/>
  <c r="C1" i="6"/>
  <c r="B1" i="6"/>
  <c r="A35" i="5"/>
  <c r="A34" i="5"/>
  <c r="K35" i="6" l="1"/>
  <c r="L35" i="6"/>
  <c r="M35" i="6"/>
  <c r="N35" i="6"/>
  <c r="G35" i="6"/>
  <c r="O35" i="6"/>
  <c r="H35" i="6"/>
  <c r="I35" i="6"/>
  <c r="J35" i="6"/>
  <c r="C56" i="5"/>
  <c r="B56" i="5"/>
  <c r="E37" i="5"/>
  <c r="D56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C41" i="3"/>
  <c r="C3" i="3" s="1"/>
  <c r="E35" i="3"/>
  <c r="E41" i="3" s="1"/>
  <c r="E3" i="3" s="1"/>
  <c r="D37" i="3"/>
  <c r="B41" i="3"/>
  <c r="B3" i="3" s="1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D32" i="3"/>
  <c r="D35" i="3" s="1"/>
  <c r="D41" i="3" s="1"/>
  <c r="R3" i="3" l="1"/>
  <c r="D3" i="3"/>
  <c r="Q3" i="3" s="1"/>
  <c r="C1" i="2"/>
  <c r="D1" i="2"/>
  <c r="E1" i="2"/>
  <c r="F1" i="2"/>
  <c r="G1" i="2"/>
  <c r="H1" i="2"/>
  <c r="I1" i="2"/>
  <c r="J1" i="2"/>
  <c r="K1" i="2"/>
  <c r="L1" i="2"/>
  <c r="M1" i="2"/>
  <c r="N1" i="2"/>
  <c r="O1" i="2"/>
  <c r="B1" i="2"/>
  <c r="C42" i="2"/>
  <c r="D42" i="2"/>
  <c r="E42" i="2"/>
  <c r="B39" i="2"/>
  <c r="B42" i="2" s="1"/>
  <c r="C39" i="2"/>
  <c r="C37" i="2"/>
  <c r="E37" i="2"/>
  <c r="B37" i="2"/>
  <c r="D32" i="2"/>
  <c r="D37" i="2" s="1"/>
  <c r="D44" i="2" s="1"/>
  <c r="D3" i="2" s="1"/>
  <c r="E44" i="2" l="1"/>
  <c r="E39" i="5"/>
  <c r="E56" i="5" s="1"/>
  <c r="B44" i="2"/>
  <c r="B3" i="2" s="1"/>
  <c r="E3" i="2"/>
  <c r="C44" i="2"/>
  <c r="R3" i="2" l="1"/>
  <c r="F56" i="8"/>
  <c r="G56" i="8" l="1"/>
  <c r="H56" i="8" l="1"/>
  <c r="I56" i="8" l="1"/>
  <c r="J56" i="8" l="1"/>
  <c r="K56" i="8" l="1"/>
  <c r="L56" i="8"/>
  <c r="M56" i="8" l="1"/>
  <c r="N56" i="8" l="1"/>
  <c r="O56" i="8" l="1"/>
  <c r="J70" i="8" l="1"/>
  <c r="M37" i="5"/>
  <c r="J37" i="5" l="1"/>
  <c r="K37" i="5"/>
  <c r="J3" i="8"/>
  <c r="J72" i="8"/>
  <c r="G37" i="5"/>
  <c r="F37" i="5"/>
  <c r="I37" i="5"/>
  <c r="F70" i="8"/>
  <c r="L37" i="5"/>
  <c r="H37" i="5"/>
  <c r="F3" i="8" l="1"/>
  <c r="F72" i="8"/>
  <c r="N37" i="5"/>
  <c r="S3" i="8" l="1"/>
  <c r="G70" i="8"/>
  <c r="G3" i="8" l="1"/>
  <c r="G72" i="8"/>
  <c r="H70" i="8"/>
  <c r="T3" i="8" l="1"/>
  <c r="H3" i="8"/>
  <c r="H72" i="8"/>
  <c r="I70" i="8"/>
  <c r="K70" i="8"/>
  <c r="U3" i="8" l="1"/>
  <c r="I72" i="8"/>
  <c r="I3" i="8"/>
  <c r="F37" i="2"/>
  <c r="F35" i="3"/>
  <c r="F41" i="3" s="1"/>
  <c r="F3" i="3" s="1"/>
  <c r="K72" i="8"/>
  <c r="K3" i="8"/>
  <c r="L70" i="8"/>
  <c r="O37" i="5"/>
  <c r="X3" i="8" l="1"/>
  <c r="W3" i="8"/>
  <c r="V3" i="8"/>
  <c r="S3" i="3"/>
  <c r="G37" i="2"/>
  <c r="G35" i="3"/>
  <c r="G41" i="3" s="1"/>
  <c r="G3" i="3" s="1"/>
  <c r="F39" i="5"/>
  <c r="H37" i="2"/>
  <c r="H35" i="3"/>
  <c r="H41" i="3" s="1"/>
  <c r="H3" i="3" s="1"/>
  <c r="F42" i="2"/>
  <c r="L72" i="8"/>
  <c r="L3" i="8"/>
  <c r="M70" i="8"/>
  <c r="Y3" i="8" l="1"/>
  <c r="T3" i="3"/>
  <c r="U3" i="3"/>
  <c r="F3" i="6"/>
  <c r="F3" i="2"/>
  <c r="S3" i="2" s="1"/>
  <c r="H39" i="5"/>
  <c r="F44" i="2"/>
  <c r="M72" i="8"/>
  <c r="M3" i="8"/>
  <c r="G39" i="5"/>
  <c r="F4" i="5"/>
  <c r="F56" i="5"/>
  <c r="N70" i="8"/>
  <c r="Z3" i="8" l="1"/>
  <c r="S3" i="6"/>
  <c r="S4" i="5"/>
  <c r="G56" i="5"/>
  <c r="G4" i="5"/>
  <c r="T4" i="5" s="1"/>
  <c r="N72" i="8"/>
  <c r="N3" i="8"/>
  <c r="AA3" i="8" s="1"/>
  <c r="I37" i="2"/>
  <c r="I35" i="3"/>
  <c r="I41" i="3" s="1"/>
  <c r="I3" i="3" s="1"/>
  <c r="J37" i="2"/>
  <c r="J35" i="3"/>
  <c r="J41" i="3" s="1"/>
  <c r="J3" i="3" s="1"/>
  <c r="H56" i="5"/>
  <c r="H4" i="5"/>
  <c r="O70" i="8"/>
  <c r="W3" i="3" l="1"/>
  <c r="V3" i="3"/>
  <c r="U4" i="5"/>
  <c r="K37" i="2"/>
  <c r="K35" i="3"/>
  <c r="K41" i="3" s="1"/>
  <c r="K3" i="3" s="1"/>
  <c r="O3" i="8"/>
  <c r="AB3" i="8" s="1"/>
  <c r="O72" i="8"/>
  <c r="I39" i="5"/>
  <c r="J39" i="5"/>
  <c r="X3" i="3" l="1"/>
  <c r="L37" i="2"/>
  <c r="L35" i="3"/>
  <c r="L41" i="3" s="1"/>
  <c r="L3" i="3" s="1"/>
  <c r="Y3" i="3" s="1"/>
  <c r="I4" i="5"/>
  <c r="I56" i="5"/>
  <c r="K39" i="5"/>
  <c r="J56" i="5"/>
  <c r="J4" i="5"/>
  <c r="V4" i="5" l="1"/>
  <c r="W4" i="5"/>
  <c r="M35" i="3"/>
  <c r="M41" i="3" s="1"/>
  <c r="M3" i="3" s="1"/>
  <c r="Z3" i="3" s="1"/>
  <c r="M37" i="2"/>
  <c r="K4" i="5"/>
  <c r="X4" i="5" s="1"/>
  <c r="K56" i="5"/>
  <c r="L39" i="5"/>
  <c r="N35" i="3" l="1"/>
  <c r="N41" i="3" s="1"/>
  <c r="N3" i="3" s="1"/>
  <c r="N37" i="2"/>
  <c r="F67" i="7"/>
  <c r="F3" i="7"/>
  <c r="F101" i="7"/>
  <c r="E67" i="7"/>
  <c r="E101" i="7"/>
  <c r="E3" i="7"/>
  <c r="M39" i="5"/>
  <c r="L56" i="5"/>
  <c r="L4" i="5"/>
  <c r="Y4" i="5" s="1"/>
  <c r="G67" i="7"/>
  <c r="G3" i="7"/>
  <c r="G101" i="7"/>
  <c r="L67" i="7"/>
  <c r="L3" i="7"/>
  <c r="L101" i="7"/>
  <c r="J67" i="7"/>
  <c r="J3" i="7"/>
  <c r="J101" i="7"/>
  <c r="K67" i="7"/>
  <c r="K101" i="7"/>
  <c r="K3" i="7"/>
  <c r="H67" i="7"/>
  <c r="H3" i="7"/>
  <c r="H101" i="7"/>
  <c r="O67" i="7"/>
  <c r="O101" i="7"/>
  <c r="O3" i="7"/>
  <c r="O104" i="7" s="1"/>
  <c r="I67" i="7"/>
  <c r="I101" i="7"/>
  <c r="I3" i="7"/>
  <c r="N67" i="7"/>
  <c r="N3" i="7"/>
  <c r="N104" i="7" s="1"/>
  <c r="N101" i="7"/>
  <c r="M67" i="7"/>
  <c r="M101" i="7"/>
  <c r="M3" i="7"/>
  <c r="I104" i="7" l="1"/>
  <c r="X3" i="7"/>
  <c r="T3" i="7"/>
  <c r="S3" i="7"/>
  <c r="R3" i="7"/>
  <c r="J104" i="7"/>
  <c r="Y3" i="7"/>
  <c r="K104" i="7"/>
  <c r="Z3" i="7"/>
  <c r="M104" i="7"/>
  <c r="AB3" i="7"/>
  <c r="L104" i="7"/>
  <c r="AA3" i="7"/>
  <c r="G104" i="7"/>
  <c r="V3" i="7"/>
  <c r="F104" i="7"/>
  <c r="U3" i="7"/>
  <c r="H104" i="7"/>
  <c r="W3" i="7"/>
  <c r="AA3" i="3"/>
  <c r="O35" i="3"/>
  <c r="O41" i="3" s="1"/>
  <c r="O3" i="3" s="1"/>
  <c r="AB3" i="3" s="1"/>
  <c r="O37" i="2"/>
  <c r="N39" i="5"/>
  <c r="M4" i="5"/>
  <c r="M56" i="5"/>
  <c r="Z4" i="5" l="1"/>
  <c r="G3" i="6"/>
  <c r="N56" i="5"/>
  <c r="N4" i="5"/>
  <c r="O39" i="5"/>
  <c r="G42" i="2"/>
  <c r="G44" i="2"/>
  <c r="G3" i="2"/>
  <c r="T3" i="6" l="1"/>
  <c r="AA4" i="5"/>
  <c r="T3" i="2"/>
  <c r="H3" i="6"/>
  <c r="U3" i="6" s="1"/>
  <c r="H42" i="2"/>
  <c r="H3" i="2"/>
  <c r="H44" i="2"/>
  <c r="O4" i="5"/>
  <c r="AB4" i="5" s="1"/>
  <c r="O56" i="5"/>
  <c r="U3" i="2" l="1"/>
  <c r="I3" i="6"/>
  <c r="V3" i="6" s="1"/>
  <c r="I42" i="2"/>
  <c r="I44" i="2"/>
  <c r="I3" i="2"/>
  <c r="V3" i="2" l="1"/>
  <c r="J3" i="6"/>
  <c r="J42" i="2"/>
  <c r="J44" i="2"/>
  <c r="J3" i="2"/>
  <c r="W3" i="6" l="1"/>
  <c r="W3" i="2"/>
  <c r="K3" i="6"/>
  <c r="M3" i="6"/>
  <c r="K42" i="2"/>
  <c r="K3" i="2"/>
  <c r="K44" i="2"/>
  <c r="X3" i="6" l="1"/>
  <c r="X3" i="2"/>
  <c r="L3" i="6"/>
  <c r="Z3" i="6" s="1"/>
  <c r="L42" i="2"/>
  <c r="L44" i="2"/>
  <c r="L3" i="2"/>
  <c r="M42" i="2"/>
  <c r="M3" i="2"/>
  <c r="M44" i="2"/>
  <c r="Y3" i="6" l="1"/>
  <c r="Y3" i="2"/>
  <c r="Z3" i="2"/>
  <c r="N3" i="6"/>
  <c r="AA3" i="6" s="1"/>
  <c r="N42" i="2"/>
  <c r="N44" i="2"/>
  <c r="N3" i="2"/>
  <c r="AA3" i="2" l="1"/>
  <c r="O3" i="6" l="1"/>
  <c r="AB3" i="6" s="1"/>
  <c r="O42" i="2"/>
  <c r="O3" i="2"/>
  <c r="AB3" i="2" s="1"/>
  <c r="O44" i="2"/>
</calcChain>
</file>

<file path=xl/comments1.xml><?xml version="1.0" encoding="utf-8"?>
<comments xmlns="http://schemas.openxmlformats.org/spreadsheetml/2006/main">
  <authors>
    <author>John Chapman</author>
  </authors>
  <commentList>
    <comment ref="E64" authorId="0">
      <text>
        <r>
          <rPr>
            <b/>
            <sz val="9"/>
            <color indexed="81"/>
            <rFont val="Tahoma"/>
            <family val="2"/>
          </rPr>
          <t>John Chapman:</t>
        </r>
        <r>
          <rPr>
            <sz val="9"/>
            <color indexed="81"/>
            <rFont val="Tahoma"/>
            <family val="2"/>
          </rPr>
          <t xml:space="preserve">
Linked to 2015-2016 Budget Op Detail</t>
        </r>
      </text>
    </comment>
  </commentList>
</comments>
</file>

<file path=xl/sharedStrings.xml><?xml version="1.0" encoding="utf-8"?>
<sst xmlns="http://schemas.openxmlformats.org/spreadsheetml/2006/main" count="296" uniqueCount="108">
  <si>
    <t>Operating Revenue</t>
  </si>
  <si>
    <t>Capital Grants/Contrib</t>
  </si>
  <si>
    <t>Operating Expenses</t>
  </si>
  <si>
    <t>$'000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</si>
  <si>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</si>
  <si>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</si>
  <si>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</si>
  <si>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</si>
  <si>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</si>
  <si>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</si>
  <si>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</si>
  <si>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</si>
  <si>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</si>
  <si>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</si>
  <si>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Operating Rev (excl Cap Grants/Contrib)</t>
  </si>
  <si>
    <t>Result</t>
  </si>
  <si>
    <t>2013-14</t>
  </si>
  <si>
    <t>2012-13</t>
  </si>
  <si>
    <t>2011-12</t>
  </si>
  <si>
    <t>2014-15</t>
  </si>
  <si>
    <t>Net Gain from Disposal of Assets</t>
  </si>
  <si>
    <t>Operating Result</t>
  </si>
  <si>
    <t>Fair Value Adj Investments</t>
  </si>
  <si>
    <t>Rev Revaluation Decrements</t>
  </si>
  <si>
    <t>Net Loss from Disposal of Assets</t>
  </si>
  <si>
    <t>Benchmark</t>
  </si>
  <si>
    <t>Net Gains from Disposal of Assets</t>
  </si>
  <si>
    <t>Own Source Revenue</t>
  </si>
  <si>
    <t>Depreciation, Amortisation, Impairment</t>
  </si>
  <si>
    <t>RFS???</t>
  </si>
  <si>
    <t>Assets Renewals</t>
  </si>
  <si>
    <t>Renewal Ratio</t>
  </si>
  <si>
    <t>Benchmark 2</t>
  </si>
  <si>
    <t>Debt Service Ratio</t>
  </si>
  <si>
    <t>Cost of Debt Service</t>
  </si>
  <si>
    <t>Operating Revenue (excl Cap Grants/Contrib)</t>
  </si>
  <si>
    <t>Real Operating Expenditure per capita</t>
  </si>
  <si>
    <t>Benchmark:  A decrease over time</t>
  </si>
  <si>
    <t>Real Operating Expenditure</t>
  </si>
  <si>
    <t>CPI:</t>
  </si>
  <si>
    <t>Population</t>
  </si>
  <si>
    <t>Actual Asset Maintenance</t>
  </si>
  <si>
    <t>Required Asset Maintenance</t>
  </si>
  <si>
    <t>From SS7</t>
  </si>
  <si>
    <t>Council Offices/Admin</t>
  </si>
  <si>
    <t>Benchmark:  Greater than 100%</t>
  </si>
  <si>
    <t>Works Depot</t>
  </si>
  <si>
    <t>Public Halls</t>
  </si>
  <si>
    <t>Libraries</t>
  </si>
  <si>
    <t>Cultural Facilities</t>
  </si>
  <si>
    <t>Specialised Buildings</t>
  </si>
  <si>
    <t>Caravan Parks/Camping Grounds</t>
  </si>
  <si>
    <t>Sporting/Recreation Facilities</t>
  </si>
  <si>
    <t>Other Buildings</t>
  </si>
  <si>
    <t>Sealed Roads Surface</t>
  </si>
  <si>
    <t>Sealed Roads Structure</t>
  </si>
  <si>
    <t>Unsealed Roads</t>
  </si>
  <si>
    <t>Bridges</t>
  </si>
  <si>
    <t>Footpaths</t>
  </si>
  <si>
    <t>Cycleways</t>
  </si>
  <si>
    <t>Kerb and Gutter</t>
  </si>
  <si>
    <t>Traffic Facilities</t>
  </si>
  <si>
    <t>Roads Other</t>
  </si>
  <si>
    <t>Buildings:</t>
  </si>
  <si>
    <t>Roads:</t>
  </si>
  <si>
    <t>Other Structures:</t>
  </si>
  <si>
    <t>Stormwater Drainage:</t>
  </si>
  <si>
    <t>Dwellings</t>
  </si>
  <si>
    <t>Medical Centres</t>
  </si>
  <si>
    <t>Retirement Village</t>
  </si>
  <si>
    <t>Amenities/Toilets</t>
  </si>
  <si>
    <t>Parks/Sporting Grounds</t>
  </si>
  <si>
    <t>Swimming Pools</t>
  </si>
  <si>
    <t>Incl Above</t>
  </si>
  <si>
    <t>2014-15 Est</t>
  </si>
  <si>
    <t>2015-16 Est</t>
  </si>
  <si>
    <t>2016-17 Est</t>
  </si>
  <si>
    <t>2017-18 Est</t>
  </si>
  <si>
    <t>2018-19 Est</t>
  </si>
  <si>
    <t>2019-20 Est</t>
  </si>
  <si>
    <t>2020-21 Est</t>
  </si>
  <si>
    <t>2021-22 Est</t>
  </si>
  <si>
    <t>2022-23 Est</t>
  </si>
  <si>
    <t>2023-24 Est</t>
  </si>
  <si>
    <t>2024-25 Est</t>
  </si>
  <si>
    <t>Ratio</t>
  </si>
  <si>
    <t>Original figures:</t>
  </si>
  <si>
    <t>Add back FAG - General</t>
  </si>
  <si>
    <t>Add back FAG - Roads</t>
  </si>
  <si>
    <t>Less Grants &amp; Contributions</t>
  </si>
  <si>
    <t>Total Operating Revenue</t>
  </si>
  <si>
    <t>Own Source Operating Revenue</t>
  </si>
  <si>
    <r>
      <t>Shortfall/</t>
    </r>
    <r>
      <rPr>
        <sz val="11"/>
        <color rgb="FFFF0000"/>
        <rFont val="Calibri"/>
        <family val="2"/>
        <scheme val="minor"/>
      </rPr>
      <t>(Excess)</t>
    </r>
  </si>
  <si>
    <t>(LTFP&gt;&gt;&gt;&gt;&gt;&gt;)</t>
  </si>
  <si>
    <t>(JRA Report&gt;&gt;&gt;&gt;&gt;)</t>
  </si>
  <si>
    <r>
      <t>Excess/</t>
    </r>
    <r>
      <rPr>
        <sz val="11"/>
        <color rgb="FFFF0000"/>
        <rFont val="Calibri"/>
        <family val="2"/>
        <scheme val="minor"/>
      </rPr>
      <t>(Shortfall)</t>
    </r>
  </si>
  <si>
    <t>Estimated cost to bring assets to a satisfactory condition</t>
  </si>
  <si>
    <t>JRA Report</t>
  </si>
  <si>
    <t>Total WDV of infrastructure, buildings, other structures and depreciable land improvement assets</t>
  </si>
  <si>
    <t>SS7:</t>
  </si>
  <si>
    <t>Buildings</t>
  </si>
  <si>
    <t>Other Structures</t>
  </si>
  <si>
    <t>Roads</t>
  </si>
  <si>
    <t>Drainage</t>
  </si>
  <si>
    <t>Max required</t>
  </si>
  <si>
    <t>Excess:</t>
  </si>
  <si>
    <t>FFTF Benchmarks</t>
  </si>
  <si>
    <t>Deflated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</si>
</sst>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0;[Red]\-#,##0.000"/>
    <numFmt numFmtId="165" formatCode="0.0%"/>
    <numFmt numFmtId="166" formatCode="_-* #,##0_-;\-* #,##0_-;_-* &quot;-&quot;??_-;_-@_-"/>
    <numFmt numFmtId="167" formatCode="#,##0;[Red]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0" xfId="1" applyNumberFormat="1" applyFont="1"/>
    <xf numFmtId="38" fontId="0" fillId="0" borderId="0" xfId="0" applyNumberFormat="1"/>
    <xf numFmtId="38" fontId="0" fillId="0" borderId="3" xfId="1" applyNumberFormat="1" applyFont="1" applyBorder="1"/>
    <xf numFmtId="164" fontId="0" fillId="0" borderId="0" xfId="0" applyNumberFormat="1"/>
    <xf numFmtId="0" fontId="0" fillId="2" borderId="4" xfId="0" applyFill="1" applyBorder="1"/>
    <xf numFmtId="38" fontId="0" fillId="2" borderId="5" xfId="0" applyNumberFormat="1" applyFill="1" applyBorder="1"/>
    <xf numFmtId="38" fontId="0" fillId="2" borderId="6" xfId="0" applyNumberFormat="1" applyFill="1" applyBorder="1"/>
    <xf numFmtId="0" fontId="0" fillId="2" borderId="7" xfId="0" applyFill="1" applyBorder="1"/>
    <xf numFmtId="164" fontId="0" fillId="2" borderId="8" xfId="0" applyNumberFormat="1" applyFill="1" applyBorder="1"/>
    <xf numFmtId="38" fontId="0" fillId="0" borderId="1" xfId="0" applyNumberFormat="1" applyBorder="1" applyAlignment="1">
      <alignment horizontal="center"/>
    </xf>
    <xf numFmtId="165" fontId="0" fillId="2" borderId="8" xfId="2" applyNumberFormat="1" applyFont="1" applyFill="1" applyBorder="1"/>
    <xf numFmtId="9" fontId="0" fillId="2" borderId="5" xfId="2" applyFont="1" applyFill="1" applyBorder="1"/>
    <xf numFmtId="9" fontId="0" fillId="2" borderId="6" xfId="2" applyFont="1" applyFill="1" applyBorder="1"/>
    <xf numFmtId="165" fontId="0" fillId="2" borderId="9" xfId="2" applyNumberFormat="1" applyFont="1" applyFill="1" applyBorder="1"/>
    <xf numFmtId="0" fontId="2" fillId="0" borderId="0" xfId="0" applyFont="1"/>
    <xf numFmtId="0" fontId="3" fillId="0" borderId="0" xfId="0" applyFont="1"/>
    <xf numFmtId="0" fontId="0" fillId="2" borderId="11" xfId="0" applyFill="1" applyBorder="1"/>
    <xf numFmtId="9" fontId="0" fillId="2" borderId="0" xfId="2" applyFont="1" applyFill="1" applyBorder="1"/>
    <xf numFmtId="9" fontId="0" fillId="2" borderId="10" xfId="2" applyFont="1" applyFill="1" applyBorder="1"/>
    <xf numFmtId="0" fontId="0" fillId="0" borderId="0" xfId="0" applyAlignment="1">
      <alignment horizontal="right"/>
    </xf>
    <xf numFmtId="43" fontId="0" fillId="2" borderId="8" xfId="1" applyFont="1" applyFill="1" applyBorder="1"/>
    <xf numFmtId="43" fontId="0" fillId="2" borderId="9" xfId="1" applyFont="1" applyFill="1" applyBorder="1"/>
    <xf numFmtId="38" fontId="0" fillId="0" borderId="0" xfId="1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2" xfId="0" applyFont="1" applyBorder="1" applyAlignment="1">
      <alignment horizontal="center"/>
    </xf>
    <xf numFmtId="0" fontId="0" fillId="0" borderId="0" xfId="0" applyFill="1"/>
    <xf numFmtId="166" fontId="0" fillId="0" borderId="0" xfId="1" applyNumberFormat="1" applyFont="1"/>
    <xf numFmtId="167" fontId="0" fillId="0" borderId="0" xfId="0" applyNumberFormat="1"/>
    <xf numFmtId="38" fontId="9" fillId="0" borderId="1" xfId="0" applyNumberFormat="1" applyFont="1" applyBorder="1" applyAlignment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0" fontId="0" fillId="0" borderId="8" xfId="0" applyBorder="1"/>
    <xf numFmtId="0" fontId="0" fillId="0" borderId="15" xfId="0" applyBorder="1"/>
    <xf numFmtId="165" fontId="0" fillId="0" borderId="0" xfId="0" applyNumberFormat="1"/>
    <xf numFmtId="0" fontId="6" fillId="0" borderId="0" xfId="0" applyFont="1"/>
    <xf numFmtId="38" fontId="6" fillId="0" borderId="0" xfId="1" applyNumberFormat="1" applyFont="1"/>
    <xf numFmtId="38" fontId="6" fillId="0" borderId="0" xfId="0" applyNumberFormat="1" applyFont="1"/>
    <xf numFmtId="164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43" fontId="0" fillId="0" borderId="0" xfId="1" applyFont="1" applyAlignment="1">
      <alignment horizontal="center"/>
    </xf>
    <xf numFmtId="38" fontId="11" fillId="0" borderId="0" xfId="1" applyNumberFormat="1" applyFont="1"/>
    <xf numFmtId="38" fontId="4" fillId="0" borderId="15" xfId="0" applyNumberFormat="1" applyFont="1" applyBorder="1" applyAlignment="1">
      <alignment horizontal="center"/>
    </xf>
    <xf numFmtId="38" fontId="4" fillId="0" borderId="2" xfId="0" applyNumberFormat="1" applyFont="1" applyBorder="1" applyAlignment="1">
      <alignment horizontal="center"/>
    </xf>
    <xf numFmtId="38" fontId="12" fillId="0" borderId="3" xfId="1" applyNumberFormat="1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8" fontId="0" fillId="0" borderId="12" xfId="1" applyNumberFormat="1" applyFont="1" applyBorder="1" applyAlignment="1">
      <alignment horizontal="center"/>
    </xf>
    <xf numFmtId="38" fontId="0" fillId="0" borderId="13" xfId="1" applyNumberFormat="1" applyFont="1" applyBorder="1" applyAlignment="1">
      <alignment horizontal="center"/>
    </xf>
    <xf numFmtId="38" fontId="0" fillId="0" borderId="14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Operating Performance</a:t>
            </a:r>
          </a:p>
        </c:rich>
      </c:tx>
      <c:layout>
        <c:manualLayout>
          <c:xMode val="edge"/>
          <c:yMode val="edge"/>
          <c:x val="0.3951121975137723"/>
          <c:y val="3.141361256544502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9168145366341641E-2"/>
          <c:y val="0.11855513534943371"/>
          <c:w val="0.96150367017843219"/>
          <c:h val="0.827542581588650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effectLst>
              <a:glow rad="254000">
                <a:srgbClr val="7030A0"/>
              </a:glow>
            </a:effectLst>
          </c:spPr>
          <c:invertIfNegative val="0"/>
          <c:cat>
            <c:strRef>
              <c:f>'Op Perf'!$D$1:$O$1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'Op Perf'!$D$2:$O$2</c:f>
              <c:numCache>
                <c:formatCode>#,##0_);[Red]\(#,##0\)</c:formatCode>
                <c:ptCount val="1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</c:spPr>
          <c:invertIfNegative val="0"/>
          <c:cat>
            <c:strRef>
              <c:f>'Op Perf'!$D$1:$O$1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'Op Perf'!$D$3:$O$3</c:f>
              <c:numCache>
                <c:formatCode>#,##0.000;[Red]\-#,##0.000</c:formatCode>
                <c:ptCount val="12"/>
                <c:pt idx="0">
                  <c:v>-0.31667881802976366</c:v>
                </c:pt>
                <c:pt idx="1">
                  <c:v>-4.5267140798241179E-2</c:v>
                </c:pt>
                <c:pt idx="2">
                  <c:v>0.10216117955968491</c:v>
                </c:pt>
                <c:pt idx="3">
                  <c:v>2.9313591235878123E-2</c:v>
                </c:pt>
                <c:pt idx="4">
                  <c:v>4.6727423363711683E-2</c:v>
                </c:pt>
                <c:pt idx="5">
                  <c:v>5.5710862619808309E-2</c:v>
                </c:pt>
                <c:pt idx="6">
                  <c:v>7.7878276866472487E-2</c:v>
                </c:pt>
                <c:pt idx="7">
                  <c:v>7.7776944423610592E-2</c:v>
                </c:pt>
                <c:pt idx="8">
                  <c:v>7.9437880678065606E-2</c:v>
                </c:pt>
                <c:pt idx="9">
                  <c:v>7.9294996051403541E-2</c:v>
                </c:pt>
                <c:pt idx="10">
                  <c:v>7.9084141031043692E-2</c:v>
                </c:pt>
                <c:pt idx="11">
                  <c:v>7.945908935296131E-2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89291776"/>
        <c:axId val="89293568"/>
      </c:barChart>
      <c:catAx>
        <c:axId val="89291776"/>
        <c:scaling>
          <c:orientation val="minMax"/>
        </c:scaling>
        <c:delete val="0"/>
        <c:axPos val="b"/>
        <c:majorTickMark val="out"/>
        <c:minorTickMark val="none"/>
        <c:tickLblPos val="low"/>
        <c:crossAx val="89293568"/>
        <c:crossesAt val="0"/>
        <c:auto val="1"/>
        <c:lblAlgn val="ctr"/>
        <c:lblOffset val="100"/>
        <c:noMultiLvlLbl val="0"/>
      </c:catAx>
      <c:valAx>
        <c:axId val="892935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89291776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Own Source Revenue</a:t>
            </a:r>
          </a:p>
        </c:rich>
      </c:tx>
      <c:layout>
        <c:manualLayout>
          <c:xMode val="edge"/>
          <c:yMode val="edge"/>
          <c:x val="0.35372271053799498"/>
          <c:y val="3.14137178448654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2942162986246243E-2"/>
          <c:y val="0.18307125072575339"/>
          <c:w val="0.95703498868481107"/>
          <c:h val="0.760338294738317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'Own Source Rev'!$A$2</c:f>
              <c:strCache>
                <c:ptCount val="1"/>
                <c:pt idx="0">
                  <c:v>Benchmark</c:v>
                </c:pt>
              </c:strCache>
            </c:strRef>
          </c:tx>
          <c:spPr>
            <a:noFill/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'Own Source Rev'!$B$1:$O$1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'Own Source Rev'!$B$2:$O$2</c:f>
              <c:numCache>
                <c:formatCode>0%</c:formatCode>
                <c:ptCount val="1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</c:numCache>
            </c:numRef>
          </c:val>
        </c:ser>
        <c:ser>
          <c:idx val="0"/>
          <c:order val="1"/>
          <c:tx>
            <c:strRef>
              <c:f>'Own Source Rev'!$A$3</c:f>
              <c:strCache>
                <c:ptCount val="1"/>
                <c:pt idx="0">
                  <c:v>Own Source Revenue</c:v>
                </c:pt>
              </c:strCache>
            </c:strRef>
          </c:tx>
          <c:invertIfNegative val="0"/>
          <c:cat>
            <c:strRef>
              <c:f>'Own Source Rev'!$B$1:$O$1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'Own Source Rev'!$B$3:$O$3</c:f>
              <c:numCache>
                <c:formatCode>0.0%</c:formatCode>
                <c:ptCount val="14"/>
                <c:pt idx="0">
                  <c:v>0.62115722236748716</c:v>
                </c:pt>
                <c:pt idx="1">
                  <c:v>0.58374980477900984</c:v>
                </c:pt>
                <c:pt idx="2">
                  <c:v>0.49987488531153557</c:v>
                </c:pt>
                <c:pt idx="3">
                  <c:v>0.72320816081962114</c:v>
                </c:pt>
                <c:pt idx="4">
                  <c:v>0.64474799700486718</c:v>
                </c:pt>
                <c:pt idx="5">
                  <c:v>0.71621367521367518</c:v>
                </c:pt>
                <c:pt idx="6">
                  <c:v>0.71363463622291035</c:v>
                </c:pt>
                <c:pt idx="7">
                  <c:v>0.72651736897749586</c:v>
                </c:pt>
                <c:pt idx="8">
                  <c:v>0.72595654069767446</c:v>
                </c:pt>
                <c:pt idx="9">
                  <c:v>0.72772371699053306</c:v>
                </c:pt>
                <c:pt idx="10">
                  <c:v>0.7294654421247081</c:v>
                </c:pt>
                <c:pt idx="11">
                  <c:v>0.73117584217891385</c:v>
                </c:pt>
                <c:pt idx="12">
                  <c:v>0.73285158077668611</c:v>
                </c:pt>
                <c:pt idx="13">
                  <c:v>0.73210355174325681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7786880"/>
        <c:axId val="97792768"/>
      </c:barChart>
      <c:catAx>
        <c:axId val="977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792768"/>
        <c:crossesAt val="0"/>
        <c:auto val="1"/>
        <c:lblAlgn val="ctr"/>
        <c:lblOffset val="100"/>
        <c:noMultiLvlLbl val="0"/>
      </c:catAx>
      <c:valAx>
        <c:axId val="977927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786880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Debt Service Ratio</a:t>
            </a:r>
          </a:p>
        </c:rich>
      </c:tx>
      <c:layout>
        <c:manualLayout>
          <c:xMode val="edge"/>
          <c:yMode val="edge"/>
          <c:x val="0.38373331168655467"/>
          <c:y val="2.603738390794134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9168145366341641E-2"/>
          <c:y val="0.15297207263802121"/>
          <c:w val="0.96150367017843219"/>
          <c:h val="0.792354037141729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'Debt Service'!$A$2</c:f>
              <c:strCache>
                <c:ptCount val="1"/>
                <c:pt idx="0">
                  <c:v>Benchmark 2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'Debt Service'!$B$1:$O$1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'Debt Service'!$B$2:$O$2</c:f>
              <c:numCache>
                <c:formatCode>0%</c:formatCode>
                <c:ptCount val="1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</c:numCache>
            </c:numRef>
          </c:val>
        </c:ser>
        <c:ser>
          <c:idx val="0"/>
          <c:order val="1"/>
          <c:tx>
            <c:strRef>
              <c:f>'Debt Service'!$A$3</c:f>
              <c:strCache>
                <c:ptCount val="1"/>
              </c:strCache>
            </c:strRef>
          </c:tx>
          <c:invertIfNegative val="0"/>
          <c:cat>
            <c:strRef>
              <c:f>'Debt Service'!$B$1:$O$1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'Debt Service'!$B$3:$O$3</c:f>
              <c:numCache>
                <c:formatCode>0%</c:formatCode>
                <c:ptCount val="14"/>
              </c:numCache>
            </c:numRef>
          </c:val>
        </c:ser>
        <c:ser>
          <c:idx val="2"/>
          <c:order val="2"/>
          <c:tx>
            <c:strRef>
              <c:f>'Debt Service'!$A$4</c:f>
              <c:strCache>
                <c:ptCount val="1"/>
                <c:pt idx="0">
                  <c:v>Debt Service Ratio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'Debt Service'!$B$1:$O$1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'Debt Service'!$B$4:$O$4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6.8539569668726015E-3</c:v>
                </c:pt>
                <c:pt idx="5">
                  <c:v>7.2607713417892523E-3</c:v>
                </c:pt>
                <c:pt idx="6">
                  <c:v>7.0285710321015427E-3</c:v>
                </c:pt>
                <c:pt idx="7">
                  <c:v>6.7759466739189794E-3</c:v>
                </c:pt>
                <c:pt idx="8">
                  <c:v>6.5027481494301419E-3</c:v>
                </c:pt>
                <c:pt idx="9">
                  <c:v>6.3627729961348248E-3</c:v>
                </c:pt>
                <c:pt idx="10">
                  <c:v>6.2254973477262505E-3</c:v>
                </c:pt>
                <c:pt idx="11">
                  <c:v>6.0905199481273327E-3</c:v>
                </c:pt>
                <c:pt idx="12">
                  <c:v>5.9583405223673017E-3</c:v>
                </c:pt>
                <c:pt idx="13">
                  <c:v>5.8086170734314027E-3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8844672"/>
        <c:axId val="98846208"/>
      </c:barChart>
      <c:catAx>
        <c:axId val="988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846208"/>
        <c:crossesAt val="0"/>
        <c:auto val="1"/>
        <c:lblAlgn val="ctr"/>
        <c:lblOffset val="100"/>
        <c:noMultiLvlLbl val="0"/>
      </c:catAx>
      <c:valAx>
        <c:axId val="98846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844672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Real Operating Expenditure per capita</a:t>
            </a:r>
          </a:p>
        </c:rich>
      </c:tx>
      <c:layout>
        <c:manualLayout>
          <c:xMode val="edge"/>
          <c:yMode val="edge"/>
          <c:x val="0.33974705739102201"/>
          <c:y val="2.603738390794134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8496305608857716E-2"/>
          <c:y val="0.15297207263802121"/>
          <c:w val="0.96150367017843219"/>
          <c:h val="0.784174079797738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'Op Exp Per Capita'!$A$2</c:f>
              <c:strCache>
                <c:ptCount val="1"/>
                <c:pt idx="0">
                  <c:v>Benchmark:  A decrease over time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'Op Exp Per Capita'!$B$1:$O$1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'Op Exp Per Capita'!$B$2:$O$2</c:f>
              <c:numCache>
                <c:formatCode>0%</c:formatCode>
                <c:ptCount val="1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8280192"/>
        <c:axId val="98281728"/>
      </c:barChart>
      <c:lineChart>
        <c:grouping val="standard"/>
        <c:varyColors val="0"/>
        <c:ser>
          <c:idx val="0"/>
          <c:order val="1"/>
          <c:tx>
            <c:strRef>
              <c:f>'Op Exp Per Capita'!$A$3</c:f>
              <c:strCache>
                <c:ptCount val="1"/>
                <c:pt idx="0">
                  <c:v>Real Operating Expenditure per capita</c:v>
                </c:pt>
              </c:strCache>
            </c:strRef>
          </c:tx>
          <c:marker>
            <c:symbol val="none"/>
          </c:marker>
          <c:trendline>
            <c:spPr>
              <a:effectLst>
                <a:outerShdw blurRad="50800" dist="38100" dir="2700000" algn="tl" rotWithShape="0">
                  <a:srgbClr val="FF0000">
                    <a:alpha val="40000"/>
                  </a:srgbClr>
                </a:outerShdw>
              </a:effectLst>
            </c:spPr>
            <c:trendlineType val="linear"/>
            <c:dispRSqr val="0"/>
            <c:dispEq val="0"/>
          </c:trendline>
          <c:cat>
            <c:strRef>
              <c:f>'Op Exp Per Capita'!$B$1:$O$1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'Op Exp Per Capita'!$B$3:$O$3</c:f>
              <c:numCache>
                <c:formatCode>_(* #,##0.00_);_(* \(#,##0.00\);_(* "-"??_);_(@_)</c:formatCode>
                <c:ptCount val="14"/>
                <c:pt idx="0">
                  <c:v>3.1385622860544724</c:v>
                </c:pt>
                <c:pt idx="1">
                  <c:v>3.0746069415603676</c:v>
                </c:pt>
                <c:pt idx="2">
                  <c:v>3.8906342620035566</c:v>
                </c:pt>
                <c:pt idx="3">
                  <c:v>3.4740835165975095</c:v>
                </c:pt>
                <c:pt idx="4">
                  <c:v>3.2113905227611621</c:v>
                </c:pt>
                <c:pt idx="5">
                  <c:v>3.1954395958556208</c:v>
                </c:pt>
                <c:pt idx="6">
                  <c:v>3.1608159885121538</c:v>
                </c:pt>
                <c:pt idx="7">
                  <c:v>3.1665072600251132</c:v>
                </c:pt>
                <c:pt idx="8">
                  <c:v>3.1415397068404625</c:v>
                </c:pt>
                <c:pt idx="9">
                  <c:v>3.1306769505956575</c:v>
                </c:pt>
                <c:pt idx="10">
                  <c:v>3.1140965708082828</c:v>
                </c:pt>
                <c:pt idx="11">
                  <c:v>3.1040499211664749</c:v>
                </c:pt>
                <c:pt idx="12">
                  <c:v>3.0943520756807015</c:v>
                </c:pt>
                <c:pt idx="13">
                  <c:v>3.0934565538628189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0192"/>
        <c:axId val="98281728"/>
      </c:lineChart>
      <c:catAx>
        <c:axId val="982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281728"/>
        <c:crossesAt val="0"/>
        <c:auto val="1"/>
        <c:lblAlgn val="ctr"/>
        <c:lblOffset val="100"/>
        <c:noMultiLvlLbl val="0"/>
      </c:catAx>
      <c:valAx>
        <c:axId val="98281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828019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537863649396761"/>
          <c:y val="0.67916618538746165"/>
          <c:w val="0.29525913899937767"/>
          <c:h val="4.9305820050385099E-2"/>
        </c:manualLayout>
      </c:layout>
      <c:overlay val="0"/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Asset Maintenance Ratio</a:t>
            </a:r>
          </a:p>
        </c:rich>
      </c:tx>
      <c:layout>
        <c:manualLayout>
          <c:xMode val="edge"/>
          <c:yMode val="edge"/>
          <c:x val="0.44222730130933141"/>
          <c:y val="2.87640363559384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0145151997621068E-2"/>
          <c:y val="9.984939532020716E-2"/>
          <c:w val="0.94893069856652534"/>
          <c:h val="0.712750154452317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'Asset Maint'!$A$2</c:f>
              <c:strCache>
                <c:ptCount val="1"/>
                <c:pt idx="0">
                  <c:v>Benchmark:  Greater than 100%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'Asset Maint'!$B$1:$O$1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 Est</c:v>
                </c:pt>
                <c:pt idx="4">
                  <c:v>2015-16 Est</c:v>
                </c:pt>
                <c:pt idx="5">
                  <c:v>2016-17 Est</c:v>
                </c:pt>
                <c:pt idx="6">
                  <c:v>2017-18 Est</c:v>
                </c:pt>
                <c:pt idx="7">
                  <c:v>2018-19 Est</c:v>
                </c:pt>
                <c:pt idx="8">
                  <c:v>2019-20 Est</c:v>
                </c:pt>
                <c:pt idx="9">
                  <c:v>2020-21 Est</c:v>
                </c:pt>
                <c:pt idx="10">
                  <c:v>2021-22 Est</c:v>
                </c:pt>
                <c:pt idx="11">
                  <c:v>2022-23 Est</c:v>
                </c:pt>
                <c:pt idx="12">
                  <c:v>2023-24 Est</c:v>
                </c:pt>
                <c:pt idx="13">
                  <c:v>2024-25 Est</c:v>
                </c:pt>
              </c:strCache>
            </c:strRef>
          </c:cat>
          <c:val>
            <c:numRef>
              <c:f>'Asset Maint'!$B$2:$O$2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0"/>
          <c:order val="1"/>
          <c:tx>
            <c:strRef>
              <c:f>'Asset Maint'!$A$3</c:f>
              <c:strCache>
                <c:ptCount val="1"/>
                <c:pt idx="0">
                  <c:v>Ratio</c:v>
                </c:pt>
              </c:strCache>
            </c:strRef>
          </c:tx>
          <c:invertIfNegative val="0"/>
          <c:cat>
            <c:strRef>
              <c:f>'Asset Maint'!$B$1:$O$1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 Est</c:v>
                </c:pt>
                <c:pt idx="4">
                  <c:v>2015-16 Est</c:v>
                </c:pt>
                <c:pt idx="5">
                  <c:v>2016-17 Est</c:v>
                </c:pt>
                <c:pt idx="6">
                  <c:v>2017-18 Est</c:v>
                </c:pt>
                <c:pt idx="7">
                  <c:v>2018-19 Est</c:v>
                </c:pt>
                <c:pt idx="8">
                  <c:v>2019-20 Est</c:v>
                </c:pt>
                <c:pt idx="9">
                  <c:v>2020-21 Est</c:v>
                </c:pt>
                <c:pt idx="10">
                  <c:v>2021-22 Est</c:v>
                </c:pt>
                <c:pt idx="11">
                  <c:v>2022-23 Est</c:v>
                </c:pt>
                <c:pt idx="12">
                  <c:v>2023-24 Est</c:v>
                </c:pt>
                <c:pt idx="13">
                  <c:v>2024-25 Est</c:v>
                </c:pt>
              </c:strCache>
            </c:strRef>
          </c:cat>
          <c:val>
            <c:numRef>
              <c:f>'Asset Maint'!$B$3:$O$3</c:f>
              <c:numCache>
                <c:formatCode>0.0%</c:formatCode>
                <c:ptCount val="14"/>
                <c:pt idx="0">
                  <c:v>0.43484754200373366</c:v>
                </c:pt>
                <c:pt idx="1">
                  <c:v>0.40717761557177617</c:v>
                </c:pt>
                <c:pt idx="2">
                  <c:v>0.45764398557034458</c:v>
                </c:pt>
                <c:pt idx="3">
                  <c:v>0.98927045240125122</c:v>
                </c:pt>
                <c:pt idx="4">
                  <c:v>1.0018252966422621</c:v>
                </c:pt>
                <c:pt idx="5">
                  <c:v>1.0399371543489191</c:v>
                </c:pt>
                <c:pt idx="6">
                  <c:v>1.0439929771758214</c:v>
                </c:pt>
                <c:pt idx="7">
                  <c:v>1.0423575</c:v>
                </c:pt>
                <c:pt idx="8">
                  <c:v>1.0495663672654691</c:v>
                </c:pt>
                <c:pt idx="9">
                  <c:v>1.0449673723536737</c:v>
                </c:pt>
                <c:pt idx="10">
                  <c:v>1.0488020859200398</c:v>
                </c:pt>
                <c:pt idx="11">
                  <c:v>1.04804900990099</c:v>
                </c:pt>
                <c:pt idx="12">
                  <c:v>1.0479684028634906</c:v>
                </c:pt>
                <c:pt idx="13">
                  <c:v>1.0479986735403537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8443264"/>
        <c:axId val="98444800"/>
      </c:barChart>
      <c:catAx>
        <c:axId val="984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98444800"/>
        <c:crossesAt val="0"/>
        <c:auto val="1"/>
        <c:lblAlgn val="ctr"/>
        <c:lblOffset val="100"/>
        <c:noMultiLvlLbl val="0"/>
      </c:catAx>
      <c:valAx>
        <c:axId val="98444800"/>
        <c:scaling>
          <c:orientation val="minMax"/>
          <c:max val="1.1000000000000001"/>
          <c:min val="0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98443264"/>
        <c:crosses val="autoZero"/>
        <c:crossBetween val="between"/>
        <c:majorUnit val="0.1"/>
      </c:valAx>
      <c:spPr>
        <a:ln>
          <a:solidFill>
            <a:schemeClr val="accent1"/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4913889188508973E-2"/>
          <c:y val="0.31163491273305033"/>
          <c:w val="0.21083201885128219"/>
          <c:h val="9.8611640100770198E-2"/>
        </c:manualLayout>
      </c:layout>
      <c:overlay val="1"/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Building and Infrastructure Asset Renewal Ratio</a:t>
            </a:r>
          </a:p>
        </c:rich>
      </c:tx>
      <c:layout>
        <c:manualLayout>
          <c:xMode val="edge"/>
          <c:yMode val="edge"/>
          <c:x val="0.32737596692969217"/>
          <c:y val="2.6037374896838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6214018329676002E-2"/>
          <c:y val="0.16660533487800699"/>
          <c:w val="0.89473126204052078"/>
          <c:h val="0.778720774901743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'Asset Renewal'!$A$2</c:f>
              <c:strCache>
                <c:ptCount val="1"/>
                <c:pt idx="0">
                  <c:v>Benchmark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'Asset Renewal'!$B$1:$O$1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'Asset Renewal'!$B$2:$O$2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0"/>
          <c:order val="1"/>
          <c:tx>
            <c:strRef>
              <c:f>'Asset Renewal'!$A$3</c:f>
              <c:strCache>
                <c:ptCount val="1"/>
                <c:pt idx="0">
                  <c:v>Renewal Ratio</c:v>
                </c:pt>
              </c:strCache>
            </c:strRef>
          </c:tx>
          <c:invertIfNegative val="0"/>
          <c:cat>
            <c:strRef>
              <c:f>'Asset Renewal'!$B$1:$O$1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'Asset Renewal'!$B$3:$O$3</c:f>
              <c:numCache>
                <c:formatCode>0.0%</c:formatCode>
                <c:ptCount val="14"/>
                <c:pt idx="0">
                  <c:v>0.43595569440499859</c:v>
                </c:pt>
                <c:pt idx="1">
                  <c:v>1.2933408260747401</c:v>
                </c:pt>
                <c:pt idx="2">
                  <c:v>0.56950104138368196</c:v>
                </c:pt>
                <c:pt idx="3">
                  <c:v>0.80524829470933679</c:v>
                </c:pt>
                <c:pt idx="4">
                  <c:v>1.2544430689343102</c:v>
                </c:pt>
                <c:pt idx="5">
                  <c:v>1.1308355287787637</c:v>
                </c:pt>
                <c:pt idx="6">
                  <c:v>1.1174939416584491</c:v>
                </c:pt>
                <c:pt idx="7">
                  <c:v>1.0658423496699214</c:v>
                </c:pt>
                <c:pt idx="8">
                  <c:v>1.0922730482021592</c:v>
                </c:pt>
                <c:pt idx="9">
                  <c:v>1.0822558687410828</c:v>
                </c:pt>
                <c:pt idx="10">
                  <c:v>1.0703091061344077</c:v>
                </c:pt>
                <c:pt idx="11">
                  <c:v>1.0435369468695141</c:v>
                </c:pt>
                <c:pt idx="12">
                  <c:v>1.0285386101728788</c:v>
                </c:pt>
                <c:pt idx="13">
                  <c:v>1.0054498507160408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8582912"/>
        <c:axId val="98584448"/>
      </c:barChart>
      <c:catAx>
        <c:axId val="9858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84448"/>
        <c:crossesAt val="0"/>
        <c:auto val="1"/>
        <c:lblAlgn val="ctr"/>
        <c:lblOffset val="100"/>
        <c:noMultiLvlLbl val="0"/>
      </c:catAx>
      <c:valAx>
        <c:axId val="985844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582912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Infrastructure Backlog Ratio</a:t>
            </a:r>
          </a:p>
        </c:rich>
      </c:tx>
      <c:layout>
        <c:manualLayout>
          <c:xMode val="edge"/>
          <c:yMode val="edge"/>
          <c:x val="0.32737596692969217"/>
          <c:y val="2.6037374896838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6214018329676002E-2"/>
          <c:y val="0.1431678559711286"/>
          <c:w val="0.89473126204052078"/>
          <c:h val="0.802158177493438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'Infra Backlog'!$A$2</c:f>
              <c:strCache>
                <c:ptCount val="1"/>
                <c:pt idx="0">
                  <c:v>Benchmark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38100">
                <a:solidFill>
                  <a:srgbClr val="C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'Infra Backlog'!$B$1:$O$1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'Infra Backlog'!$B$2:$O$2</c:f>
              <c:numCache>
                <c:formatCode>0%</c:formatCode>
                <c:ptCount val="1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</c:numCache>
            </c:numRef>
          </c:val>
        </c:ser>
        <c:ser>
          <c:idx val="0"/>
          <c:order val="1"/>
          <c:tx>
            <c:strRef>
              <c:f>'Infra Backlog'!$A$3</c:f>
              <c:strCache>
                <c:ptCount val="1"/>
                <c:pt idx="0">
                  <c:v>Renewal Ratio</c:v>
                </c:pt>
              </c:strCache>
            </c:strRef>
          </c:tx>
          <c:invertIfNegative val="0"/>
          <c:cat>
            <c:strRef>
              <c:f>'Infra Backlog'!$B$1:$O$1</c:f>
              <c:strCache>
                <c:ptCount val="14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  <c:pt idx="10">
                  <c:v>2021-22</c:v>
                </c:pt>
                <c:pt idx="11">
                  <c:v>2022-23</c:v>
                </c:pt>
                <c:pt idx="12">
                  <c:v>2023-24</c:v>
                </c:pt>
                <c:pt idx="13">
                  <c:v>2024-25</c:v>
                </c:pt>
              </c:strCache>
            </c:strRef>
          </c:cat>
          <c:val>
            <c:numRef>
              <c:f>'Infra Backlog'!$B$3:$O$3</c:f>
              <c:numCache>
                <c:formatCode>0.0%</c:formatCode>
                <c:ptCount val="14"/>
                <c:pt idx="0">
                  <c:v>0.53894690882458574</c:v>
                </c:pt>
                <c:pt idx="1">
                  <c:v>0.19715726214859663</c:v>
                </c:pt>
                <c:pt idx="2">
                  <c:v>0.15225346230149314</c:v>
                </c:pt>
                <c:pt idx="3">
                  <c:v>2.1168808714195148E-2</c:v>
                </c:pt>
                <c:pt idx="4">
                  <c:v>1.2726652645938726E-2</c:v>
                </c:pt>
                <c:pt idx="5">
                  <c:v>8.5717138989369959E-3</c:v>
                </c:pt>
                <c:pt idx="6">
                  <c:v>7.233302806126646E-3</c:v>
                </c:pt>
                <c:pt idx="7">
                  <c:v>6.2337407352868997E-3</c:v>
                </c:pt>
                <c:pt idx="8">
                  <c:v>5.1659997075849222E-3</c:v>
                </c:pt>
                <c:pt idx="9">
                  <c:v>4.9637286710573119E-3</c:v>
                </c:pt>
                <c:pt idx="10">
                  <c:v>4.8826866056465128E-3</c:v>
                </c:pt>
                <c:pt idx="11">
                  <c:v>5.6780548255453709E-3</c:v>
                </c:pt>
                <c:pt idx="12">
                  <c:v>6.9848289939507344E-3</c:v>
                </c:pt>
                <c:pt idx="13">
                  <c:v>8.1286655467633154E-3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98670848"/>
        <c:axId val="98676736"/>
      </c:barChart>
      <c:catAx>
        <c:axId val="986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676736"/>
        <c:crossesAt val="0"/>
        <c:auto val="1"/>
        <c:lblAlgn val="ctr"/>
        <c:lblOffset val="100"/>
        <c:noMultiLvlLbl val="0"/>
      </c:catAx>
      <c:valAx>
        <c:axId val="986767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98670848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38100" cap="rnd"/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28574</xdr:rowOff>
    </xdr:from>
    <xdr:to>
      <xdr:col>14</xdr:col>
      <xdr:colOff>590550</xdr:colOff>
      <xdr:row>27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0.05861</cdr:x>
      <cdr:y>0.10912</cdr:y>
    </cdr:from>
    <cdr:to>
      <cdr:x>0.1011</cdr:x>
      <cdr:y>0.20727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Marker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9609" y="571900"/>
          <a:ext cx="514350" cy="51435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15</xdr:col>
      <xdr:colOff>0</xdr:colOff>
      <xdr:row>27</xdr:row>
      <xdr:rowOff>123826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285750</xdr:colOff>
      <xdr:row>5</xdr:row>
      <xdr:rowOff>57150</xdr:rowOff>
    </xdr:from>
    <xdr:ext cx="1314271" cy="264560"/>
    <xdr:sp macro="" textlink="">
      <xdr:nvSpPr>
        <xdr:cNvPr id="3" name="TextBox 2"/>
        <xdr:cNvSpPr txBox="1"/>
      </xdr:nvSpPr>
      <xdr:spPr>
        <a:xfrm>
          <a:off x="5000625" y="1028700"/>
          <a:ext cx="131427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Benchmark = 100% </a:t>
          </a:r>
        </a:p>
      </xdr:txBody>
    </xdr:sp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0.04818</cdr:x>
      <cdr:y>0.16973</cdr:y>
    </cdr:from>
    <cdr:to>
      <cdr:x>0.09498</cdr:x>
      <cdr:y>0.29243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88282" y="790579"/>
          <a:ext cx="571500" cy="571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0.54709</cdr:x>
      <cdr:y>0.11656</cdr:y>
    </cdr:from>
    <cdr:to>
      <cdr:x>0.644</cdr:x>
      <cdr:y>0.11656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6680548" y="542905"/>
          <a:ext cx="118337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38100</xdr:rowOff>
    </xdr:from>
    <xdr:to>
      <xdr:col>14</xdr:col>
      <xdr:colOff>676276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495300</xdr:colOff>
      <xdr:row>5</xdr:row>
      <xdr:rowOff>57150</xdr:rowOff>
    </xdr:from>
    <xdr:ext cx="1273426" cy="264560"/>
    <xdr:sp macro="" textlink="">
      <xdr:nvSpPr>
        <xdr:cNvPr id="3" name="TextBox 2"/>
        <xdr:cNvSpPr txBox="1"/>
      </xdr:nvSpPr>
      <xdr:spPr>
        <a:xfrm>
          <a:off x="4171950" y="1028700"/>
          <a:ext cx="1273426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Benchmark = &lt; 2% </a:t>
          </a:r>
        </a:p>
      </xdr:txBody>
    </xdr:sp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0.1198</cdr:x>
      <cdr:y>0.16592</cdr:y>
    </cdr:from>
    <cdr:to>
      <cdr:x>0.16363</cdr:x>
      <cdr:y>0.27139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05841" y="809162"/>
          <a:ext cx="514350" cy="514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0.45514</cdr:x>
      <cdr:y>0.11656</cdr:y>
    </cdr:from>
    <cdr:to>
      <cdr:x>0.53441</cdr:x>
      <cdr:y>0.11656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353979" y="542904"/>
          <a:ext cx="932521" cy="2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0.45079</cdr:x>
      <cdr:y>0.12298</cdr:y>
    </cdr:from>
    <cdr:to>
      <cdr:x>0.55917</cdr:x>
      <cdr:y>0.16331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53208" y="581015"/>
          <a:ext cx="1142766" cy="1905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n-AU" sz="1100"/>
            <a:t>Benchmark = 0</a:t>
          </a:r>
        </a:p>
      </cdr:txBody>
    </cdr:sp>
  </cdr:relSizeAnchor>
  <cdr:relSizeAnchor xmlns:cdr="http://schemas.openxmlformats.org/drawingml/2006/chartDrawing">
    <cdr:from>
      <cdr:x>0.05464</cdr:x>
      <cdr:y>0.13911</cdr:y>
    </cdr:from>
    <cdr:to>
      <cdr:x>0.10884</cdr:x>
      <cdr:y>0.26008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6124" y="657214"/>
          <a:ext cx="571495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28574</xdr:rowOff>
    </xdr:from>
    <xdr:to>
      <xdr:col>15</xdr:col>
      <xdr:colOff>28574</xdr:colOff>
      <xdr:row>27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342900</xdr:colOff>
      <xdr:row>5</xdr:row>
      <xdr:rowOff>161925</xdr:rowOff>
    </xdr:from>
    <xdr:ext cx="1210909" cy="264560"/>
    <xdr:sp macro="" textlink="">
      <xdr:nvSpPr>
        <xdr:cNvPr id="3" name="TextBox 2"/>
        <xdr:cNvSpPr txBox="1"/>
      </xdr:nvSpPr>
      <xdr:spPr>
        <a:xfrm>
          <a:off x="3876675" y="1133475"/>
          <a:ext cx="12109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Benchmark = 60%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0.06678</cdr:x>
      <cdr:y>0.20161</cdr:y>
    </cdr:from>
    <cdr:to>
      <cdr:x>0.12026</cdr:x>
      <cdr:y>0.32258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13681" y="952486"/>
          <a:ext cx="571500" cy="571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0.4704</cdr:x>
      <cdr:y>0.1371</cdr:y>
    </cdr:from>
    <cdr:to>
      <cdr:x>0.54189</cdr:x>
      <cdr:y>0.1371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5027143" y="647701"/>
          <a:ext cx="764057" cy="1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15</xdr:col>
      <xdr:colOff>0</xdr:colOff>
      <xdr:row>28</xdr:row>
      <xdr:rowOff>123826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200025</xdr:colOff>
      <xdr:row>6</xdr:row>
      <xdr:rowOff>114300</xdr:rowOff>
    </xdr:from>
    <xdr:ext cx="3598677" cy="264560"/>
    <xdr:sp macro="" textlink="">
      <xdr:nvSpPr>
        <xdr:cNvPr id="3" name="TextBox 2"/>
        <xdr:cNvSpPr txBox="1"/>
      </xdr:nvSpPr>
      <xdr:spPr>
        <a:xfrm>
          <a:off x="2676525" y="1276350"/>
          <a:ext cx="3598677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Benchmark: Greater than 0% and less than or equal to 20%</a:t>
          </a: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0.06322</cdr:x>
      <cdr:y>0.16392</cdr:y>
    </cdr:from>
    <cdr:to>
      <cdr:x>0.12903</cdr:x>
      <cdr:y>0.29448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84071" y="763515"/>
          <a:ext cx="608109" cy="60808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15</xdr:col>
      <xdr:colOff>0</xdr:colOff>
      <xdr:row>27</xdr:row>
      <xdr:rowOff>123826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171450</xdr:colOff>
      <xdr:row>5</xdr:row>
      <xdr:rowOff>66675</xdr:rowOff>
    </xdr:from>
    <xdr:ext cx="2116220" cy="264560"/>
    <xdr:sp macro="" textlink="">
      <xdr:nvSpPr>
        <xdr:cNvPr id="3" name="TextBox 2"/>
        <xdr:cNvSpPr txBox="1"/>
      </xdr:nvSpPr>
      <xdr:spPr>
        <a:xfrm>
          <a:off x="4743450" y="1038225"/>
          <a:ext cx="2116220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Benchmark: A decrease over time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0.07307</cdr:x>
      <cdr:y>0.17211</cdr:y>
    </cdr:from>
    <cdr:to>
      <cdr:x>0.12255</cdr:x>
      <cdr:y>0.29039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8219" y="801618"/>
          <a:ext cx="560843" cy="5509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0.40672</cdr:x>
      <cdr:y>0.7362</cdr:y>
    </cdr:from>
    <cdr:to>
      <cdr:x>0.42782</cdr:x>
      <cdr:y>0.73773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4610100" y="3429000"/>
          <a:ext cx="239107" cy="71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0.42312</cdr:x>
      <cdr:y>0.70987</cdr:y>
    </cdr:from>
    <cdr:to>
      <cdr:x>0.54168</cdr:x>
      <cdr:y>0.75486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795934" y="3306381"/>
          <a:ext cx="1343848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000"/>
            <a:t>Trend over time</a:t>
          </a:r>
        </a:p>
        <a:p xmlns:a="http://schemas.openxmlformats.org/drawingml/2006/main">
          <a:endParaRPr lang="en-AU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19047</xdr:rowOff>
    </xdr:from>
    <xdr:to>
      <xdr:col>15</xdr:col>
      <xdr:colOff>0</xdr:colOff>
      <xdr:row>30</xdr:row>
      <xdr:rowOff>116420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2%202015-2016%20Draft%20Operational%20Delivery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Submission"/>
      <sheetName val="LTFP Bal Sheet Scen 2"/>
      <sheetName val="LTFP Op Scen. 1"/>
      <sheetName val="LTFP Op Scen. 2"/>
      <sheetName val="LTFP Op Scen. 3"/>
      <sheetName val="LTFP Capital Works"/>
      <sheetName val="Restrictions"/>
      <sheetName val="Op Budget Detail"/>
      <sheetName val="LTFP Op Detail Scen. 3"/>
      <sheetName val="Capital Works Detail"/>
      <sheetName val="Capital Works DOP PUBLIC"/>
      <sheetName val="Op Budget DOP PUBLIC"/>
      <sheetName val="Op Budget DOP Council"/>
      <sheetName val="Capital Works DOP - Council"/>
      <sheetName val="Borrowings"/>
      <sheetName val="SRA Hall Loan"/>
      <sheetName val="Water Fund Loans"/>
      <sheetName val="ELE Payouts"/>
      <sheetName val="Indices"/>
      <sheetName val="Op Cover"/>
      <sheetName val="Cap Cover"/>
      <sheetName val="Adjustments Summ"/>
      <sheetName val="QBR 3"/>
      <sheetName val="QBR 2"/>
      <sheetName val="2015 Revotes"/>
      <sheetName val="Council Adjs"/>
      <sheetName val="Manex Adjs"/>
      <sheetName val="Staff Costs"/>
      <sheetName val="Sub Account"/>
      <sheetName val="Int on Inv"/>
      <sheetName val="Water Sewer Chges"/>
      <sheetName val="HACC"/>
    </sheetNames>
    <definedNames>
      <definedName name="Y4CPI" refersTo="='Indices'!$S$23" sheetId="31"/>
    </definedNames>
    <sheetDataSet>
      <sheetData sheetId="0" refreshError="1"/>
      <sheetData sheetId="1" refreshError="1"/>
      <sheetData sheetId="2" refreshError="1"/>
      <sheetData sheetId="3" refreshError="1">
        <row r="51">
          <cell r="E51">
            <v>-15979888</v>
          </cell>
        </row>
        <row r="59">
          <cell r="A59" t="str">
            <v>Borrowing Costs</v>
          </cell>
        </row>
        <row r="67">
          <cell r="A67" t="str">
            <v>Total Expenses from Continuing Operations</v>
          </cell>
        </row>
        <row r="76">
          <cell r="A76" t="str">
            <v>Loan Principal Repaid</v>
          </cell>
        </row>
      </sheetData>
      <sheetData sheetId="4" refreshError="1"/>
      <sheetData sheetId="5" refreshError="1"/>
      <sheetData sheetId="6" refreshError="1"/>
      <sheetData sheetId="7" refreshError="1">
        <row r="23">
          <cell r="S23">
            <v>260</v>
          </cell>
        </row>
        <row r="258">
          <cell r="E258" t="str">
            <v>Other Business Undertakings NON WORK ORDER</v>
          </cell>
        </row>
        <row r="389">
          <cell r="E389" t="str">
            <v>Tourism Operations - NON WORK ORDER</v>
          </cell>
        </row>
        <row r="513">
          <cell r="E513" t="str">
            <v>Corporate Services NON WORK ORDER</v>
          </cell>
        </row>
        <row r="715">
          <cell r="E715" t="str">
            <v>03810 - Aged &amp; Disabled Expenses</v>
          </cell>
        </row>
        <row r="733">
          <cell r="E733" t="str">
            <v>03930 - Historic Buildings Preservation</v>
          </cell>
        </row>
        <row r="1116">
          <cell r="E1116" t="str">
            <v>Library Expenses - NON WORK ORDER</v>
          </cell>
        </row>
        <row r="1263">
          <cell r="E1263" t="str">
            <v>W1752 - Heavy Vehicle Inspection Station</v>
          </cell>
        </row>
        <row r="1279">
          <cell r="E1279" t="str">
            <v>03490 - Buildings - Dwellings Expenses</v>
          </cell>
        </row>
        <row r="2004">
          <cell r="E2004" t="str">
            <v>Medical Centres NON WORK ORDER</v>
          </cell>
        </row>
        <row r="2098">
          <cell r="E2098" t="str">
            <v>Willow Bend Sports Centre NON WORK ORDER</v>
          </cell>
        </row>
        <row r="2365">
          <cell r="E2365" t="str">
            <v>Halls &amp; Community Centres NON WORK ORDER</v>
          </cell>
        </row>
        <row r="2466">
          <cell r="E2466" t="str">
            <v>Animal Control NON WORK ORDER</v>
          </cell>
        </row>
        <row r="3094">
          <cell r="E3094" t="str">
            <v>Works Depots NON WORK ORDER</v>
          </cell>
        </row>
        <row r="3305">
          <cell r="E3305" t="str">
            <v>03280 - Bridges Maintenance - Local Roads</v>
          </cell>
        </row>
        <row r="3326">
          <cell r="E3326" t="str">
            <v>03300 - Footpaths &amp; Bike Track Maintenance</v>
          </cell>
        </row>
        <row r="3404">
          <cell r="E3404" t="str">
            <v>03350 - Sealed Rural Roads Maintenance</v>
          </cell>
        </row>
        <row r="3417">
          <cell r="E3417" t="str">
            <v>03360 - Unsealed Rural Roads Maintenance</v>
          </cell>
        </row>
        <row r="3500">
          <cell r="E3500" t="str">
            <v>Stormwater Drainage NON WORK ORDER</v>
          </cell>
        </row>
        <row r="3638">
          <cell r="E3638" t="str">
            <v>04080 - State Emergency Service Expenses</v>
          </cell>
        </row>
        <row r="3906">
          <cell r="E3906" t="str">
            <v>Swimming Pools NON WORK ORDER</v>
          </cell>
        </row>
        <row r="4481">
          <cell r="E4481" t="str">
            <v>Public Toilets NON WORK ORDER</v>
          </cell>
        </row>
      </sheetData>
      <sheetData sheetId="8" refreshError="1">
        <row r="23">
          <cell r="S23">
            <v>260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3">
          <cell r="S23">
            <v>15606.304781476836</v>
          </cell>
        </row>
      </sheetData>
      <sheetData sheetId="17" refreshError="1"/>
      <sheetData sheetId="18" refreshError="1">
        <row r="23">
          <cell r="S23">
            <v>1.0249999999999999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>
        <row r="23">
          <cell r="S23">
            <v>-208912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3">
          <cell r="S23">
            <v>35517.180479999995</v>
          </cell>
        </row>
      </sheetData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opLeftCell="A4" workbookViewId="0">
      <selection activeCell="A45" sqref="A45"/>
    </sheetView>
  </sheetViews>
  <sheetFormatPr defaultRowHeight="15" x14ac:dyDescent="0.25"/>
  <cols>
    <col min="1" max="1" width="37.140625" bestFit="1" customWidth="1"/>
    <col min="2" max="2" width="8" customWidth="1"/>
    <col min="3" max="4" width="7.85546875" customWidth="1"/>
    <col min="5" max="5" width="7.7109375" customWidth="1"/>
    <col min="6" max="6" width="8" bestFit="1" customWidth="1"/>
    <col min="17" max="17" width="7.7109375" bestFit="1" customWidth="1"/>
    <col min="18" max="19" width="7.7109375" customWidth="1"/>
    <col min="20" max="20" width="7.7109375" bestFit="1" customWidth="1"/>
  </cols>
  <sheetData>
    <row r="1" spans="1:28" ht="15.75" thickBot="1" x14ac:dyDescent="0.3">
      <c r="B1" s="12" t="str">
        <f t="shared" ref="B1:O1" si="0">B31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</row>
    <row r="2" spans="1:28" x14ac:dyDescent="0.25">
      <c r="A2" s="7" t="s">
        <v>25</v>
      </c>
      <c r="B2" s="8">
        <v>0</v>
      </c>
      <c r="C2" s="8">
        <v>0</v>
      </c>
      <c r="D2" s="8">
        <v>0</v>
      </c>
      <c r="E2" s="8"/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9">
        <v>0</v>
      </c>
      <c r="Q2" s="46" t="str">
        <f t="shared" ref="Q2:R2" si="1">D1</f>
        <v>2013-14</v>
      </c>
      <c r="R2" s="46" t="str">
        <f t="shared" si="1"/>
        <v>2014-15</v>
      </c>
      <c r="S2" s="46" t="str">
        <f t="shared" ref="S2" si="2">F1</f>
        <v>2015-16</v>
      </c>
      <c r="T2" s="46" t="str">
        <f t="shared" ref="T2" si="3">G1</f>
        <v>2016-17</v>
      </c>
      <c r="U2" s="46" t="str">
        <f t="shared" ref="U2" si="4">H1</f>
        <v>2017-18</v>
      </c>
      <c r="V2" s="46" t="str">
        <f t="shared" ref="V2:AB2" si="5">I1</f>
        <v>2018-19</v>
      </c>
      <c r="W2" s="46" t="str">
        <f t="shared" si="5"/>
        <v>2019-20</v>
      </c>
      <c r="X2" s="46" t="str">
        <f t="shared" si="5"/>
        <v>2020-21</v>
      </c>
      <c r="Y2" s="46" t="str">
        <f t="shared" si="5"/>
        <v>2021-22</v>
      </c>
      <c r="Z2" s="46" t="str">
        <f t="shared" si="5"/>
        <v>2022-23</v>
      </c>
      <c r="AA2" s="46" t="str">
        <f t="shared" si="5"/>
        <v>2023-24</v>
      </c>
      <c r="AB2" s="46" t="str">
        <f t="shared" si="5"/>
        <v>2024-25</v>
      </c>
    </row>
    <row r="3" spans="1:28" ht="15.75" thickBot="1" x14ac:dyDescent="0.3">
      <c r="A3" s="10" t="s">
        <v>15</v>
      </c>
      <c r="B3" s="11">
        <f>B44/B37</f>
        <v>-2.4741784037558685</v>
      </c>
      <c r="C3" s="11">
        <f>C44/C37</f>
        <v>12.983059548254619</v>
      </c>
      <c r="D3" s="11">
        <f>D44/D37</f>
        <v>-0.31667881802976366</v>
      </c>
      <c r="E3" s="11">
        <f t="shared" ref="E3:O3" si="6">(E37-E39)/E37</f>
        <v>-4.5267140798241179E-2</v>
      </c>
      <c r="F3" s="33">
        <f t="shared" si="6"/>
        <v>0.10216117955968491</v>
      </c>
      <c r="G3" s="33">
        <f t="shared" si="6"/>
        <v>2.9313591235878123E-2</v>
      </c>
      <c r="H3" s="33">
        <f t="shared" si="6"/>
        <v>4.6727423363711683E-2</v>
      </c>
      <c r="I3" s="33">
        <f t="shared" si="6"/>
        <v>5.5710862619808309E-2</v>
      </c>
      <c r="J3" s="33">
        <f t="shared" si="6"/>
        <v>7.7878276866472487E-2</v>
      </c>
      <c r="K3" s="33">
        <f t="shared" si="6"/>
        <v>7.7776944423610592E-2</v>
      </c>
      <c r="L3" s="33">
        <f t="shared" si="6"/>
        <v>7.9437880678065606E-2</v>
      </c>
      <c r="M3" s="33">
        <f t="shared" si="6"/>
        <v>7.9294996051403541E-2</v>
      </c>
      <c r="N3" s="33">
        <f t="shared" si="6"/>
        <v>7.9084141031043692E-2</v>
      </c>
      <c r="O3" s="34">
        <f t="shared" si="6"/>
        <v>7.945908935296131E-2</v>
      </c>
      <c r="Q3" s="41">
        <f>AVERAGE(B3:D3)</f>
        <v>3.3974007754896625</v>
      </c>
      <c r="R3" s="41">
        <f t="shared" ref="R3:S3" si="7">AVERAGE(C3:E3)</f>
        <v>4.2070378631422045</v>
      </c>
      <c r="S3" s="41">
        <f t="shared" si="7"/>
        <v>-8.6594926422773319E-2</v>
      </c>
      <c r="T3" s="41">
        <f>AVERAGE(E3:G3)</f>
        <v>2.8735876665773954E-2</v>
      </c>
      <c r="U3" s="41">
        <f>AVERAGE(F3:H3)</f>
        <v>5.9400731386424904E-2</v>
      </c>
      <c r="V3" s="41">
        <f t="shared" ref="V3:AB3" si="8">AVERAGE(G3:I3)</f>
        <v>4.3917292406466045E-2</v>
      </c>
      <c r="W3" s="41">
        <f t="shared" si="8"/>
        <v>6.0105520949997493E-2</v>
      </c>
      <c r="X3" s="41">
        <f t="shared" si="8"/>
        <v>7.0455361303297118E-2</v>
      </c>
      <c r="Y3" s="41">
        <f t="shared" si="8"/>
        <v>7.8364367322716233E-2</v>
      </c>
      <c r="Z3" s="41">
        <f t="shared" si="8"/>
        <v>7.8836607051026575E-2</v>
      </c>
      <c r="AA3" s="41">
        <f t="shared" si="8"/>
        <v>7.9272339253504284E-2</v>
      </c>
      <c r="AB3" s="41">
        <f t="shared" si="8"/>
        <v>7.9279408811802843E-2</v>
      </c>
    </row>
    <row r="5" spans="1:28" x14ac:dyDescent="0.25">
      <c r="C5" s="6"/>
    </row>
    <row r="30" spans="1:15" x14ac:dyDescent="0.25">
      <c r="B30" s="1" t="s">
        <v>3</v>
      </c>
      <c r="C30" s="1" t="s">
        <v>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3</v>
      </c>
    </row>
    <row r="31" spans="1:15" x14ac:dyDescent="0.25">
      <c r="B31" s="2" t="s">
        <v>18</v>
      </c>
      <c r="C31" s="2" t="s">
        <v>17</v>
      </c>
      <c r="D31" s="2" t="s">
        <v>16</v>
      </c>
      <c r="E31" s="2" t="s">
        <v>19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</row>
    <row r="32" spans="1:15" x14ac:dyDescent="0.25">
      <c r="A32" t="s">
        <v>0</v>
      </c>
      <c r="B32" s="3">
        <v>26771</v>
      </c>
      <c r="C32" s="3">
        <v>25853</v>
      </c>
      <c r="D32" s="3">
        <f>24192</f>
        <v>24192</v>
      </c>
      <c r="E32" s="4">
        <v>23673.482930000002</v>
      </c>
      <c r="F32" s="3">
        <v>26710</v>
      </c>
      <c r="G32" s="3">
        <v>24804</v>
      </c>
      <c r="H32" s="3">
        <v>25840</v>
      </c>
      <c r="I32" s="3">
        <v>26484</v>
      </c>
      <c r="J32" s="3">
        <v>27520</v>
      </c>
      <c r="K32" s="3">
        <v>28098</v>
      </c>
      <c r="L32" s="3">
        <v>28691</v>
      </c>
      <c r="M32" s="3">
        <v>29299</v>
      </c>
      <c r="N32" s="3">
        <v>29922</v>
      </c>
      <c r="O32" s="3">
        <v>30661</v>
      </c>
    </row>
    <row r="33" spans="1:15" x14ac:dyDescent="0.25">
      <c r="A33" t="s">
        <v>20</v>
      </c>
      <c r="B33" s="3"/>
      <c r="C33" s="3">
        <v>-241</v>
      </c>
      <c r="D33" s="3">
        <v>-214</v>
      </c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t="s">
        <v>22</v>
      </c>
      <c r="B34" s="3">
        <v>15</v>
      </c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t="s">
        <v>23</v>
      </c>
      <c r="B35" s="3">
        <v>-18042</v>
      </c>
      <c r="C35" s="3">
        <v>-25904</v>
      </c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t="s">
        <v>1</v>
      </c>
      <c r="B36" s="3">
        <v>-2141</v>
      </c>
      <c r="C36" s="3">
        <v>-1656</v>
      </c>
      <c r="D36" s="3">
        <v>-661</v>
      </c>
      <c r="E36" s="4">
        <v>-1245.6129100000001</v>
      </c>
      <c r="F36" s="3">
        <v>-1955</v>
      </c>
      <c r="G36" s="3">
        <v>-1436</v>
      </c>
      <c r="H36" s="3">
        <v>-1700</v>
      </c>
      <c r="I36" s="3">
        <v>-1444</v>
      </c>
      <c r="J36" s="3">
        <v>-1428</v>
      </c>
      <c r="K36" s="3">
        <v>-1432</v>
      </c>
      <c r="L36" s="3">
        <v>-1437</v>
      </c>
      <c r="M36" s="3">
        <v>-1441</v>
      </c>
      <c r="N36" s="3">
        <v>-1446</v>
      </c>
      <c r="O36" s="3">
        <v>-1451</v>
      </c>
    </row>
    <row r="37" spans="1:15" x14ac:dyDescent="0.25">
      <c r="A37" t="s">
        <v>14</v>
      </c>
      <c r="B37" s="5">
        <f>SUM(B32:B36)</f>
        <v>6603</v>
      </c>
      <c r="C37" s="5">
        <f t="shared" ref="C37:O37" si="9">SUM(C32:C36)</f>
        <v>-1948</v>
      </c>
      <c r="D37" s="5">
        <f t="shared" si="9"/>
        <v>23317</v>
      </c>
      <c r="E37" s="5">
        <f t="shared" si="9"/>
        <v>22427.870020000002</v>
      </c>
      <c r="F37" s="5">
        <f t="shared" si="9"/>
        <v>24755</v>
      </c>
      <c r="G37" s="5">
        <f t="shared" si="9"/>
        <v>23368</v>
      </c>
      <c r="H37" s="5">
        <f t="shared" si="9"/>
        <v>24140</v>
      </c>
      <c r="I37" s="5">
        <f t="shared" si="9"/>
        <v>25040</v>
      </c>
      <c r="J37" s="5">
        <f t="shared" si="9"/>
        <v>26092</v>
      </c>
      <c r="K37" s="5">
        <f t="shared" si="9"/>
        <v>26666</v>
      </c>
      <c r="L37" s="5">
        <f t="shared" si="9"/>
        <v>27254</v>
      </c>
      <c r="M37" s="5">
        <f t="shared" si="9"/>
        <v>27858</v>
      </c>
      <c r="N37" s="5">
        <f t="shared" si="9"/>
        <v>28476</v>
      </c>
      <c r="O37" s="5">
        <f t="shared" si="9"/>
        <v>29210</v>
      </c>
    </row>
    <row r="38" spans="1:15" x14ac:dyDescent="0.25">
      <c r="B38" s="3"/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t="s">
        <v>2</v>
      </c>
      <c r="B39" s="3">
        <f>23258</f>
        <v>23258</v>
      </c>
      <c r="C39" s="3">
        <f>23343</f>
        <v>23343</v>
      </c>
      <c r="D39" s="3">
        <v>30701</v>
      </c>
      <c r="E39" s="3">
        <v>23443.115569999994</v>
      </c>
      <c r="F39" s="3">
        <v>22226</v>
      </c>
      <c r="G39" s="3">
        <v>22683</v>
      </c>
      <c r="H39" s="3">
        <v>23012</v>
      </c>
      <c r="I39" s="3">
        <v>23645</v>
      </c>
      <c r="J39" s="3">
        <v>24060</v>
      </c>
      <c r="K39" s="3">
        <v>24592</v>
      </c>
      <c r="L39" s="3">
        <v>25089</v>
      </c>
      <c r="M39" s="3">
        <v>25649</v>
      </c>
      <c r="N39" s="3">
        <v>26224</v>
      </c>
      <c r="O39" s="3">
        <v>26889</v>
      </c>
    </row>
    <row r="40" spans="1:15" x14ac:dyDescent="0.25">
      <c r="A40" t="s">
        <v>24</v>
      </c>
      <c r="B40" s="3">
        <v>-318</v>
      </c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B42" s="5">
        <f>SUM(B39:B41)</f>
        <v>22940</v>
      </c>
      <c r="C42" s="5">
        <f t="shared" ref="C42:O42" si="10">SUM(C39:C41)</f>
        <v>23343</v>
      </c>
      <c r="D42" s="5">
        <f t="shared" si="10"/>
        <v>30701</v>
      </c>
      <c r="E42" s="5">
        <f t="shared" si="10"/>
        <v>23443.115569999994</v>
      </c>
      <c r="F42" s="5">
        <f t="shared" si="10"/>
        <v>22226</v>
      </c>
      <c r="G42" s="5">
        <f t="shared" si="10"/>
        <v>22683</v>
      </c>
      <c r="H42" s="5">
        <f t="shared" si="10"/>
        <v>23012</v>
      </c>
      <c r="I42" s="5">
        <f t="shared" si="10"/>
        <v>23645</v>
      </c>
      <c r="J42" s="5">
        <f t="shared" si="10"/>
        <v>24060</v>
      </c>
      <c r="K42" s="5">
        <f t="shared" si="10"/>
        <v>24592</v>
      </c>
      <c r="L42" s="5">
        <f t="shared" si="10"/>
        <v>25089</v>
      </c>
      <c r="M42" s="5">
        <f t="shared" si="10"/>
        <v>25649</v>
      </c>
      <c r="N42" s="5">
        <f t="shared" si="10"/>
        <v>26224</v>
      </c>
      <c r="O42" s="5">
        <f t="shared" si="10"/>
        <v>26889</v>
      </c>
    </row>
    <row r="43" spans="1:15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t="s">
        <v>21</v>
      </c>
      <c r="B44" s="4">
        <f>B37-B42</f>
        <v>-16337</v>
      </c>
      <c r="C44" s="4">
        <f t="shared" ref="C44:O44" si="11">C37-C39</f>
        <v>-25291</v>
      </c>
      <c r="D44" s="4">
        <f t="shared" si="11"/>
        <v>-7384</v>
      </c>
      <c r="E44" s="4">
        <f t="shared" si="11"/>
        <v>-1015.2455499999924</v>
      </c>
      <c r="F44" s="4">
        <f t="shared" si="11"/>
        <v>2529</v>
      </c>
      <c r="G44" s="4">
        <f t="shared" si="11"/>
        <v>685</v>
      </c>
      <c r="H44" s="4">
        <f t="shared" si="11"/>
        <v>1128</v>
      </c>
      <c r="I44" s="4">
        <f t="shared" si="11"/>
        <v>1395</v>
      </c>
      <c r="J44" s="4">
        <f t="shared" si="11"/>
        <v>2032</v>
      </c>
      <c r="K44" s="4">
        <f t="shared" si="11"/>
        <v>2074</v>
      </c>
      <c r="L44" s="4">
        <f t="shared" si="11"/>
        <v>2165</v>
      </c>
      <c r="M44" s="4">
        <f t="shared" si="11"/>
        <v>2209</v>
      </c>
      <c r="N44" s="4">
        <f t="shared" si="11"/>
        <v>2252</v>
      </c>
      <c r="O44" s="4">
        <f t="shared" si="11"/>
        <v>2321</v>
      </c>
    </row>
  </sheetData>
  <mergeCells count="1">
    <mergeCell ref="Q1:AB1"/>
  </mergeCells>
  <pageMargins left="0.7" right="0.7" top="0.75" bottom="0.75" header="0.3" footer="0.3"/>
  <pageSetup paperSize="9" scale="9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opLeftCell="A19" workbookViewId="0">
      <selection activeCell="E43" sqref="E43"/>
    </sheetView>
  </sheetViews>
  <sheetFormatPr defaultRowHeight="15" x14ac:dyDescent="0.25"/>
  <cols>
    <col min="1" max="1" width="37.140625" bestFit="1" customWidth="1"/>
    <col min="2" max="2" width="8" customWidth="1"/>
    <col min="3" max="4" width="7.85546875" customWidth="1"/>
    <col min="5" max="5" width="7.7109375" customWidth="1"/>
    <col min="6" max="6" width="10.140625" bestFit="1" customWidth="1"/>
  </cols>
  <sheetData>
    <row r="1" spans="1:28" ht="15.75" thickBot="1" x14ac:dyDescent="0.3">
      <c r="B1" s="12" t="str">
        <f t="shared" ref="B1:O1" si="0">B31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50"/>
    </row>
    <row r="2" spans="1:28" x14ac:dyDescent="0.25">
      <c r="A2" s="7" t="s">
        <v>25</v>
      </c>
      <c r="B2" s="14">
        <v>0.6</v>
      </c>
      <c r="C2" s="14">
        <v>0.6</v>
      </c>
      <c r="D2" s="14">
        <v>0.6</v>
      </c>
      <c r="E2" s="14">
        <v>0.6</v>
      </c>
      <c r="F2" s="14">
        <v>0.6</v>
      </c>
      <c r="G2" s="14">
        <v>0.6</v>
      </c>
      <c r="H2" s="14">
        <v>0.6</v>
      </c>
      <c r="I2" s="14">
        <v>0.6</v>
      </c>
      <c r="J2" s="14">
        <v>0.6</v>
      </c>
      <c r="K2" s="14">
        <v>0.6</v>
      </c>
      <c r="L2" s="14">
        <v>0.6</v>
      </c>
      <c r="M2" s="14">
        <v>0.6</v>
      </c>
      <c r="N2" s="14">
        <v>0.6</v>
      </c>
      <c r="O2" s="15">
        <v>0.6</v>
      </c>
      <c r="Q2" s="45" t="str">
        <f>D1</f>
        <v>2013-14</v>
      </c>
      <c r="R2" s="45" t="str">
        <f t="shared" ref="R2" si="1">E1</f>
        <v>2014-15</v>
      </c>
      <c r="S2" s="45" t="str">
        <f t="shared" ref="S2" si="2">F1</f>
        <v>2015-16</v>
      </c>
      <c r="T2" s="45" t="str">
        <f t="shared" ref="T2" si="3">G1</f>
        <v>2016-17</v>
      </c>
      <c r="U2" s="45" t="str">
        <f t="shared" ref="U2" si="4">H1</f>
        <v>2017-18</v>
      </c>
      <c r="V2" s="45" t="str">
        <f t="shared" ref="V2" si="5">I1</f>
        <v>2018-19</v>
      </c>
      <c r="W2" s="45" t="str">
        <f t="shared" ref="W2" si="6">J1</f>
        <v>2019-20</v>
      </c>
      <c r="X2" s="45" t="str">
        <f t="shared" ref="X2" si="7">K1</f>
        <v>2020-21</v>
      </c>
      <c r="Y2" s="45" t="str">
        <f t="shared" ref="Y2" si="8">L1</f>
        <v>2021-22</v>
      </c>
      <c r="Z2" s="45" t="str">
        <f t="shared" ref="Z2" si="9">M1</f>
        <v>2022-23</v>
      </c>
      <c r="AA2" s="45" t="str">
        <f t="shared" ref="AA2" si="10">N1</f>
        <v>2023-24</v>
      </c>
      <c r="AB2" s="45" t="str">
        <f t="shared" ref="AB2" si="11">O1</f>
        <v>2024-25</v>
      </c>
    </row>
    <row r="3" spans="1:28" ht="15.75" thickBot="1" x14ac:dyDescent="0.3">
      <c r="A3" s="10" t="s">
        <v>27</v>
      </c>
      <c r="B3" s="13">
        <f t="shared" ref="B3:O3" si="12">B41/B35</f>
        <v>0.62115722236748716</v>
      </c>
      <c r="C3" s="13">
        <f t="shared" si="12"/>
        <v>0.58374980477900984</v>
      </c>
      <c r="D3" s="13">
        <f t="shared" si="12"/>
        <v>0.49987488531153557</v>
      </c>
      <c r="E3" s="13">
        <f t="shared" si="12"/>
        <v>0.72320816081962114</v>
      </c>
      <c r="F3" s="13">
        <f t="shared" si="12"/>
        <v>0.64474799700486718</v>
      </c>
      <c r="G3" s="13">
        <f t="shared" si="12"/>
        <v>0.71621367521367518</v>
      </c>
      <c r="H3" s="13">
        <f t="shared" si="12"/>
        <v>0.71363463622291035</v>
      </c>
      <c r="I3" s="13">
        <f t="shared" si="12"/>
        <v>0.72651736897749586</v>
      </c>
      <c r="J3" s="13">
        <f t="shared" si="12"/>
        <v>0.72595654069767446</v>
      </c>
      <c r="K3" s="13">
        <f t="shared" si="12"/>
        <v>0.72772371699053306</v>
      </c>
      <c r="L3" s="13">
        <f t="shared" si="12"/>
        <v>0.7294654421247081</v>
      </c>
      <c r="M3" s="13">
        <f t="shared" si="12"/>
        <v>0.73117584217891385</v>
      </c>
      <c r="N3" s="13">
        <f t="shared" si="12"/>
        <v>0.73285158077668611</v>
      </c>
      <c r="O3" s="16">
        <f t="shared" si="12"/>
        <v>0.73210355174325681</v>
      </c>
      <c r="Q3" s="42">
        <f>AVERAGE(B3:D3)</f>
        <v>0.56826063748601086</v>
      </c>
      <c r="R3" s="42">
        <f t="shared" ref="R3:S3" si="13">AVERAGE(C3:E3)</f>
        <v>0.60227761697005555</v>
      </c>
      <c r="S3" s="42">
        <f t="shared" si="13"/>
        <v>0.62261034771200796</v>
      </c>
      <c r="T3" s="42">
        <f>AVERAGE(E3:G3)</f>
        <v>0.6947232776793878</v>
      </c>
      <c r="U3" s="42">
        <f t="shared" ref="U3:AB3" si="14">AVERAGE(F3:H3)</f>
        <v>0.6915321028138175</v>
      </c>
      <c r="V3" s="42">
        <f t="shared" si="14"/>
        <v>0.71878856013802717</v>
      </c>
      <c r="W3" s="42">
        <f t="shared" si="14"/>
        <v>0.72203618196602692</v>
      </c>
      <c r="X3" s="42">
        <f t="shared" si="14"/>
        <v>0.72673254222190098</v>
      </c>
      <c r="Y3" s="42">
        <f t="shared" si="14"/>
        <v>0.72771523327097187</v>
      </c>
      <c r="Z3" s="42">
        <f t="shared" si="14"/>
        <v>0.729455000431385</v>
      </c>
      <c r="AA3" s="42">
        <f t="shared" si="14"/>
        <v>0.73116428836010261</v>
      </c>
      <c r="AB3" s="42">
        <f t="shared" si="14"/>
        <v>0.73204365823295225</v>
      </c>
    </row>
    <row r="5" spans="1:28" x14ac:dyDescent="0.25">
      <c r="C5" s="6"/>
    </row>
    <row r="30" spans="1:15" x14ac:dyDescent="0.25">
      <c r="B30" s="1" t="s">
        <v>3</v>
      </c>
      <c r="C30" s="1" t="s">
        <v>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3</v>
      </c>
    </row>
    <row r="31" spans="1:15" x14ac:dyDescent="0.25">
      <c r="B31" s="2" t="s">
        <v>18</v>
      </c>
      <c r="C31" s="2" t="s">
        <v>17</v>
      </c>
      <c r="D31" s="2" t="s">
        <v>16</v>
      </c>
      <c r="E31" s="2" t="s">
        <v>19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</row>
    <row r="32" spans="1:15" x14ac:dyDescent="0.25">
      <c r="A32" t="s">
        <v>0</v>
      </c>
      <c r="B32" s="3">
        <v>26771</v>
      </c>
      <c r="C32" s="3">
        <v>25853</v>
      </c>
      <c r="D32" s="3">
        <f>24192</f>
        <v>24192</v>
      </c>
      <c r="E32" s="4">
        <v>23673.482930000002</v>
      </c>
      <c r="F32" s="3">
        <v>26710</v>
      </c>
      <c r="G32" s="3">
        <v>24804</v>
      </c>
      <c r="H32" s="3">
        <v>25840</v>
      </c>
      <c r="I32" s="3">
        <v>26484</v>
      </c>
      <c r="J32" s="3">
        <v>27520</v>
      </c>
      <c r="K32" s="3">
        <v>28098</v>
      </c>
      <c r="L32" s="3">
        <v>28691</v>
      </c>
      <c r="M32" s="3">
        <v>29299</v>
      </c>
      <c r="N32" s="3">
        <v>29922</v>
      </c>
      <c r="O32" s="3">
        <v>30661</v>
      </c>
    </row>
    <row r="33" spans="1:15" x14ac:dyDescent="0.25">
      <c r="A33" t="s">
        <v>26</v>
      </c>
      <c r="B33" s="3"/>
      <c r="C33" s="3">
        <v>-241</v>
      </c>
      <c r="D33" s="3">
        <v>-214</v>
      </c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3" customHeight="1" x14ac:dyDescent="0.25"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t="s">
        <v>90</v>
      </c>
      <c r="B35" s="5">
        <f t="shared" ref="B35:C35" si="15">SUM(B32:B34)</f>
        <v>26771</v>
      </c>
      <c r="C35" s="5">
        <f t="shared" si="15"/>
        <v>25612</v>
      </c>
      <c r="D35" s="5">
        <f>SUM(D32:D34)</f>
        <v>23978</v>
      </c>
      <c r="E35" s="5">
        <f t="shared" ref="E35:F35" si="16">SUM(E32:E34)</f>
        <v>23673.482930000002</v>
      </c>
      <c r="F35" s="5">
        <f t="shared" si="16"/>
        <v>26710</v>
      </c>
      <c r="G35" s="5">
        <f t="shared" ref="G35" si="17">SUM(G32:G34)</f>
        <v>24804</v>
      </c>
      <c r="H35" s="5">
        <f t="shared" ref="H35" si="18">SUM(H32:H34)</f>
        <v>25840</v>
      </c>
      <c r="I35" s="5">
        <f t="shared" ref="I35" si="19">SUM(I32:I34)</f>
        <v>26484</v>
      </c>
      <c r="J35" s="5">
        <f t="shared" ref="J35" si="20">SUM(J32:J34)</f>
        <v>27520</v>
      </c>
      <c r="K35" s="5">
        <f t="shared" ref="K35" si="21">SUM(K32:K34)</f>
        <v>28098</v>
      </c>
      <c r="L35" s="5">
        <f t="shared" ref="L35" si="22">SUM(L32:L34)</f>
        <v>28691</v>
      </c>
      <c r="M35" s="5">
        <f t="shared" ref="M35" si="23">SUM(M32:M34)</f>
        <v>29299</v>
      </c>
      <c r="N35" s="5">
        <f t="shared" ref="N35" si="24">SUM(N32:N34)</f>
        <v>29922</v>
      </c>
      <c r="O35" s="5">
        <f t="shared" ref="O35" si="25">SUM(O32:O34)</f>
        <v>30661</v>
      </c>
    </row>
    <row r="36" spans="1:15" x14ac:dyDescent="0.25"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t="s">
        <v>89</v>
      </c>
      <c r="B37" s="3">
        <f>-16458-2141</f>
        <v>-18599</v>
      </c>
      <c r="C37" s="3">
        <f>-15630-1656</f>
        <v>-17286</v>
      </c>
      <c r="D37" s="3">
        <f>-15300-661</f>
        <v>-15961</v>
      </c>
      <c r="E37" s="4">
        <v>-14364.430880000004</v>
      </c>
      <c r="F37" s="3">
        <v>-17534.931</v>
      </c>
      <c r="G37" s="3">
        <v>-15326.575999999999</v>
      </c>
      <c r="H37" s="3">
        <v>-15894.411</v>
      </c>
      <c r="I37" s="3">
        <v>-16025.794</v>
      </c>
      <c r="J37" s="3">
        <v>-16544.126</v>
      </c>
      <c r="K37" s="3">
        <v>-16877.929</v>
      </c>
      <c r="L37" s="3">
        <v>-17220.107</v>
      </c>
      <c r="M37" s="3">
        <v>-17570.929</v>
      </c>
      <c r="N37" s="3">
        <v>-17930.634999999998</v>
      </c>
      <c r="O37" s="3">
        <v>-18399.413</v>
      </c>
    </row>
    <row r="38" spans="1:15" x14ac:dyDescent="0.25">
      <c r="A38" t="s">
        <v>87</v>
      </c>
      <c r="B38" s="3">
        <v>4554</v>
      </c>
      <c r="C38" s="3">
        <v>3561</v>
      </c>
      <c r="D38" s="3">
        <v>2359</v>
      </c>
      <c r="E38" s="4">
        <v>4646.13</v>
      </c>
      <c r="F38" s="3">
        <v>4785.51</v>
      </c>
      <c r="G38" s="3">
        <v>4929.08</v>
      </c>
      <c r="H38" s="3">
        <v>5052.3100000000004</v>
      </c>
      <c r="I38" s="3">
        <v>5254.4</v>
      </c>
      <c r="J38" s="3">
        <v>5385.76</v>
      </c>
      <c r="K38" s="3">
        <v>5520.4</v>
      </c>
      <c r="L38" s="3">
        <v>5658.41</v>
      </c>
      <c r="M38" s="3">
        <v>5799.87</v>
      </c>
      <c r="N38" s="3">
        <v>5944.87</v>
      </c>
      <c r="O38" s="3">
        <v>6093.49</v>
      </c>
    </row>
    <row r="39" spans="1:15" x14ac:dyDescent="0.25">
      <c r="A39" t="s">
        <v>88</v>
      </c>
      <c r="B39" s="3">
        <v>3903</v>
      </c>
      <c r="C39" s="3">
        <v>3064</v>
      </c>
      <c r="D39" s="3">
        <v>1610</v>
      </c>
      <c r="E39" s="4">
        <v>3165.674</v>
      </c>
      <c r="F39" s="3">
        <v>3260.64</v>
      </c>
      <c r="G39" s="3">
        <v>3358.46</v>
      </c>
      <c r="H39" s="3">
        <v>3442.42</v>
      </c>
      <c r="I39" s="3">
        <v>3528.48</v>
      </c>
      <c r="J39" s="3">
        <v>3616.69</v>
      </c>
      <c r="K39" s="3">
        <v>3707.11</v>
      </c>
      <c r="L39" s="3">
        <v>3799.79</v>
      </c>
      <c r="M39" s="3">
        <v>3894.78</v>
      </c>
      <c r="N39" s="3">
        <v>3992.15</v>
      </c>
      <c r="O39" s="3">
        <v>4091.95</v>
      </c>
    </row>
    <row r="40" spans="1:15" ht="3" customHeight="1" x14ac:dyDescent="0.25"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t="s">
        <v>91</v>
      </c>
      <c r="B41" s="5">
        <f t="shared" ref="B41" si="26">SUM(B35:B40)</f>
        <v>16629</v>
      </c>
      <c r="C41" s="5">
        <f t="shared" ref="C41" si="27">SUM(C35:C40)</f>
        <v>14951</v>
      </c>
      <c r="D41" s="5">
        <f t="shared" ref="D41" si="28">SUM(D35:D40)</f>
        <v>11986</v>
      </c>
      <c r="E41" s="5">
        <f t="shared" ref="E41" si="29">SUM(E35:E40)</f>
        <v>17120.856049999999</v>
      </c>
      <c r="F41" s="5">
        <f t="shared" ref="F41" si="30">SUM(F35:F40)</f>
        <v>17221.219000000001</v>
      </c>
      <c r="G41" s="5">
        <f t="shared" ref="G41" si="31">SUM(G35:G40)</f>
        <v>17764.964</v>
      </c>
      <c r="H41" s="5">
        <f t="shared" ref="H41" si="32">SUM(H35:H40)</f>
        <v>18440.319000000003</v>
      </c>
      <c r="I41" s="5">
        <f t="shared" ref="I41" si="33">SUM(I35:I40)</f>
        <v>19241.085999999999</v>
      </c>
      <c r="J41" s="5">
        <f t="shared" ref="J41" si="34">SUM(J35:J40)</f>
        <v>19978.324000000001</v>
      </c>
      <c r="K41" s="5">
        <f t="shared" ref="K41" si="35">SUM(K35:K40)</f>
        <v>20447.580999999998</v>
      </c>
      <c r="L41" s="5">
        <f t="shared" ref="L41" si="36">SUM(L35:L40)</f>
        <v>20929.093000000001</v>
      </c>
      <c r="M41" s="5">
        <f t="shared" ref="M41" si="37">SUM(M35:M40)</f>
        <v>21422.720999999998</v>
      </c>
      <c r="N41" s="5">
        <f t="shared" ref="N41" si="38">SUM(N35:N40)</f>
        <v>21928.385000000002</v>
      </c>
      <c r="O41" s="5">
        <f t="shared" ref="O41" si="39">SUM(O35:O40)</f>
        <v>22447.026999999998</v>
      </c>
    </row>
    <row r="42" spans="1:15" x14ac:dyDescent="0.25">
      <c r="B42" s="3"/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</sheetData>
  <mergeCells count="1">
    <mergeCell ref="Q1:T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workbookViewId="0">
      <selection activeCell="N39" sqref="N39"/>
    </sheetView>
  </sheetViews>
  <sheetFormatPr defaultRowHeight="15" x14ac:dyDescent="0.25"/>
  <cols>
    <col min="1" max="1" width="37.140625" bestFit="1" customWidth="1"/>
    <col min="2" max="2" width="8" customWidth="1"/>
    <col min="3" max="4" width="7.85546875" customWidth="1"/>
    <col min="5" max="5" width="7.7109375" customWidth="1"/>
    <col min="6" max="15" width="10.140625" bestFit="1" customWidth="1"/>
  </cols>
  <sheetData>
    <row r="1" spans="1:28" ht="15.75" thickBot="1" x14ac:dyDescent="0.3">
      <c r="B1" s="12" t="str">
        <f t="shared" ref="B1:O1" si="0">B32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50"/>
    </row>
    <row r="2" spans="1:28" x14ac:dyDescent="0.25">
      <c r="A2" s="7" t="s">
        <v>32</v>
      </c>
      <c r="B2" s="14">
        <v>0.2</v>
      </c>
      <c r="C2" s="14">
        <v>0.2</v>
      </c>
      <c r="D2" s="14">
        <v>0.2</v>
      </c>
      <c r="E2" s="14">
        <v>0.2</v>
      </c>
      <c r="F2" s="14">
        <v>0.2</v>
      </c>
      <c r="G2" s="14">
        <v>0.2</v>
      </c>
      <c r="H2" s="14">
        <v>0.2</v>
      </c>
      <c r="I2" s="14">
        <v>0.2</v>
      </c>
      <c r="J2" s="14">
        <v>0.2</v>
      </c>
      <c r="K2" s="14">
        <v>0.2</v>
      </c>
      <c r="L2" s="14">
        <v>0.2</v>
      </c>
      <c r="M2" s="14">
        <v>0.2</v>
      </c>
      <c r="N2" s="14">
        <v>0.2</v>
      </c>
      <c r="O2" s="15">
        <v>0.2</v>
      </c>
      <c r="Q2" s="45" t="str">
        <f>D1</f>
        <v>2013-14</v>
      </c>
      <c r="R2" s="45" t="str">
        <f t="shared" ref="R2:AB2" si="1">E1</f>
        <v>2014-15</v>
      </c>
      <c r="S2" s="45" t="str">
        <f t="shared" si="1"/>
        <v>2015-16</v>
      </c>
      <c r="T2" s="45" t="str">
        <f t="shared" si="1"/>
        <v>2016-17</v>
      </c>
      <c r="U2" s="45" t="str">
        <f t="shared" si="1"/>
        <v>2017-18</v>
      </c>
      <c r="V2" s="45" t="str">
        <f t="shared" si="1"/>
        <v>2018-19</v>
      </c>
      <c r="W2" s="45" t="str">
        <f t="shared" si="1"/>
        <v>2019-20</v>
      </c>
      <c r="X2" s="45" t="str">
        <f t="shared" si="1"/>
        <v>2020-21</v>
      </c>
      <c r="Y2" s="45" t="str">
        <f t="shared" si="1"/>
        <v>2021-22</v>
      </c>
      <c r="Z2" s="45" t="str">
        <f t="shared" si="1"/>
        <v>2022-23</v>
      </c>
      <c r="AA2" s="45" t="str">
        <f t="shared" si="1"/>
        <v>2023-24</v>
      </c>
      <c r="AB2" s="45" t="str">
        <f t="shared" si="1"/>
        <v>2024-25</v>
      </c>
    </row>
    <row r="3" spans="1:28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Q3" s="42"/>
      <c r="R3" s="42"/>
      <c r="S3" s="42"/>
      <c r="T3" s="42"/>
    </row>
    <row r="4" spans="1:28" ht="15.75" thickBot="1" x14ac:dyDescent="0.3">
      <c r="A4" s="10" t="s">
        <v>33</v>
      </c>
      <c r="B4" s="13">
        <v>0</v>
      </c>
      <c r="C4" s="13">
        <v>0</v>
      </c>
      <c r="D4" s="13">
        <v>0</v>
      </c>
      <c r="E4" s="13">
        <v>0</v>
      </c>
      <c r="F4" s="13">
        <f>F37/F39</f>
        <v>6.8539569668726015E-3</v>
      </c>
      <c r="G4" s="13">
        <f t="shared" ref="G4:O4" si="2">G37/G39</f>
        <v>7.2607713417892523E-3</v>
      </c>
      <c r="H4" s="13">
        <f t="shared" si="2"/>
        <v>7.0285710321015427E-3</v>
      </c>
      <c r="I4" s="13">
        <f t="shared" si="2"/>
        <v>6.7759466739189794E-3</v>
      </c>
      <c r="J4" s="13">
        <f t="shared" si="2"/>
        <v>6.5027481494301419E-3</v>
      </c>
      <c r="K4" s="13">
        <f t="shared" si="2"/>
        <v>6.3627729961348248E-3</v>
      </c>
      <c r="L4" s="13">
        <f t="shared" si="2"/>
        <v>6.2254973477262505E-3</v>
      </c>
      <c r="M4" s="13">
        <f t="shared" si="2"/>
        <v>6.0905199481273327E-3</v>
      </c>
      <c r="N4" s="13">
        <f t="shared" si="2"/>
        <v>5.9583405223673017E-3</v>
      </c>
      <c r="O4" s="16">
        <f t="shared" si="2"/>
        <v>5.8086170734314027E-3</v>
      </c>
      <c r="Q4" s="42">
        <f>AVERAGE(B4:D4)</f>
        <v>0</v>
      </c>
      <c r="R4" s="42">
        <f t="shared" ref="R4:T4" si="3">AVERAGE(C4:E4)</f>
        <v>0</v>
      </c>
      <c r="S4" s="42">
        <f t="shared" si="3"/>
        <v>2.284652322290867E-3</v>
      </c>
      <c r="T4" s="42">
        <f t="shared" si="3"/>
        <v>4.704909436220618E-3</v>
      </c>
      <c r="U4" s="42">
        <f t="shared" ref="U4" si="4">AVERAGE(F4:H4)</f>
        <v>7.0477664469211316E-3</v>
      </c>
      <c r="V4" s="42">
        <f t="shared" ref="V4" si="5">AVERAGE(G4:I4)</f>
        <v>7.0217630159365918E-3</v>
      </c>
      <c r="W4" s="42">
        <f t="shared" ref="W4" si="6">AVERAGE(H4:J4)</f>
        <v>6.7690886184835547E-3</v>
      </c>
      <c r="X4" s="42">
        <f t="shared" ref="X4" si="7">AVERAGE(I4:K4)</f>
        <v>6.5471559398279826E-3</v>
      </c>
      <c r="Y4" s="42">
        <f t="shared" ref="Y4" si="8">AVERAGE(J4:L4)</f>
        <v>6.363672831097073E-3</v>
      </c>
      <c r="Z4" s="42">
        <f t="shared" ref="Z4" si="9">AVERAGE(K4:M4)</f>
        <v>6.2262634306628024E-3</v>
      </c>
      <c r="AA4" s="42">
        <f t="shared" ref="AA4" si="10">AVERAGE(L4:N4)</f>
        <v>6.0914526060736286E-3</v>
      </c>
      <c r="AB4" s="42">
        <f t="shared" ref="AB4" si="11">AVERAGE(M4:O4)</f>
        <v>5.9524925146420124E-3</v>
      </c>
    </row>
    <row r="6" spans="1:28" x14ac:dyDescent="0.25">
      <c r="C6" s="6"/>
    </row>
    <row r="31" spans="2:15" x14ac:dyDescent="0.25">
      <c r="B31" s="1" t="s">
        <v>3</v>
      </c>
      <c r="C31" s="1" t="s">
        <v>3</v>
      </c>
      <c r="D31" s="1" t="s">
        <v>3</v>
      </c>
      <c r="E31" s="1" t="s">
        <v>3</v>
      </c>
      <c r="F31" s="1" t="s">
        <v>3</v>
      </c>
      <c r="G31" s="1" t="s">
        <v>3</v>
      </c>
      <c r="H31" s="1" t="s">
        <v>3</v>
      </c>
      <c r="I31" s="1" t="s">
        <v>3</v>
      </c>
      <c r="J31" s="1" t="s">
        <v>3</v>
      </c>
      <c r="K31" s="1" t="s">
        <v>3</v>
      </c>
      <c r="L31" s="1" t="s">
        <v>3</v>
      </c>
      <c r="M31" s="1" t="s">
        <v>3</v>
      </c>
      <c r="N31" s="1" t="s">
        <v>3</v>
      </c>
      <c r="O31" s="1" t="s">
        <v>3</v>
      </c>
    </row>
    <row r="32" spans="2:15" x14ac:dyDescent="0.25">
      <c r="B32" s="2" t="s">
        <v>18</v>
      </c>
      <c r="C32" s="2" t="s">
        <v>17</v>
      </c>
      <c r="D32" s="2" t="s">
        <v>16</v>
      </c>
      <c r="E32" s="2" t="s">
        <v>19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  <c r="O32" s="2" t="s">
        <v>13</v>
      </c>
    </row>
    <row r="33" spans="1:15" x14ac:dyDescent="0.25">
      <c r="A33" s="18" t="s">
        <v>34</v>
      </c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t="str">
        <f>'[1]LTFP Op Scen. 2'!$A$59</f>
        <v>Borrowing Costs</v>
      </c>
      <c r="B34" s="3">
        <v>0</v>
      </c>
      <c r="C34" s="3">
        <v>0</v>
      </c>
      <c r="D34" s="3">
        <v>0</v>
      </c>
      <c r="E34" s="4">
        <v>0</v>
      </c>
      <c r="F34" s="3">
        <v>75.280317885650149</v>
      </c>
      <c r="G34" s="3">
        <v>71.263868389000422</v>
      </c>
      <c r="H34" s="3">
        <v>67.288275260550932</v>
      </c>
      <c r="I34" s="3">
        <v>63.152068277140394</v>
      </c>
      <c r="J34" s="3">
        <v>59.006970508534856</v>
      </c>
      <c r="K34" s="3">
        <v>54.377987171753496</v>
      </c>
      <c r="L34" s="3">
        <v>49.720204898416753</v>
      </c>
      <c r="M34" s="3">
        <v>44.874248347099595</v>
      </c>
      <c r="N34" s="3">
        <v>39.938103501048857</v>
      </c>
      <c r="O34" s="3">
        <v>34.591362098617132</v>
      </c>
    </row>
    <row r="35" spans="1:15" x14ac:dyDescent="0.25">
      <c r="A35" t="str">
        <f>'[1]LTFP Op Scen. 2'!$A$76</f>
        <v>Loan Principal Repaid</v>
      </c>
      <c r="B35" s="3">
        <v>0</v>
      </c>
      <c r="C35" s="3">
        <v>0</v>
      </c>
      <c r="D35" s="3">
        <v>0</v>
      </c>
      <c r="E35" s="4">
        <v>0</v>
      </c>
      <c r="F35" s="3">
        <v>94.389386829281108</v>
      </c>
      <c r="G35" s="3">
        <v>98.405836325930835</v>
      </c>
      <c r="H35" s="3">
        <v>102.38142945438032</v>
      </c>
      <c r="I35" s="3">
        <v>106.51763643779086</v>
      </c>
      <c r="J35" s="3">
        <v>110.66273420639641</v>
      </c>
      <c r="K35" s="3">
        <v>115.29171754317774</v>
      </c>
      <c r="L35" s="3">
        <v>119.9494998165145</v>
      </c>
      <c r="M35" s="3">
        <v>124.79545636783166</v>
      </c>
      <c r="N35" s="3">
        <v>129.73160121388241</v>
      </c>
      <c r="O35" s="3">
        <v>135.07834261631413</v>
      </c>
    </row>
    <row r="36" spans="1:15" ht="3" customHeight="1" x14ac:dyDescent="0.25"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B37" s="5">
        <f t="shared" ref="B37:O37" si="12">SUM(B33:B36)</f>
        <v>0</v>
      </c>
      <c r="C37" s="5">
        <f t="shared" si="12"/>
        <v>0</v>
      </c>
      <c r="D37" s="5">
        <f t="shared" si="12"/>
        <v>0</v>
      </c>
      <c r="E37" s="5">
        <f t="shared" si="12"/>
        <v>0</v>
      </c>
      <c r="F37" s="5">
        <f t="shared" si="12"/>
        <v>169.66970471493124</v>
      </c>
      <c r="G37" s="5">
        <f t="shared" si="12"/>
        <v>169.66970471493124</v>
      </c>
      <c r="H37" s="5">
        <f t="shared" si="12"/>
        <v>169.66970471493124</v>
      </c>
      <c r="I37" s="5">
        <f t="shared" si="12"/>
        <v>169.66970471493124</v>
      </c>
      <c r="J37" s="5">
        <f t="shared" si="12"/>
        <v>169.66970471493127</v>
      </c>
      <c r="K37" s="5">
        <f t="shared" si="12"/>
        <v>169.66970471493124</v>
      </c>
      <c r="L37" s="5">
        <f t="shared" si="12"/>
        <v>169.66970471493124</v>
      </c>
      <c r="M37" s="5">
        <f t="shared" si="12"/>
        <v>169.66970471493124</v>
      </c>
      <c r="N37" s="5">
        <f t="shared" si="12"/>
        <v>169.66970471493127</v>
      </c>
      <c r="O37" s="5">
        <f t="shared" si="12"/>
        <v>169.66970471493127</v>
      </c>
    </row>
    <row r="38" spans="1:15" x14ac:dyDescent="0.25"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8" t="s">
        <v>35</v>
      </c>
      <c r="B39" s="3">
        <f>'Op Perf'!B37</f>
        <v>6603</v>
      </c>
      <c r="C39" s="3">
        <f>'Op Perf'!C37</f>
        <v>-1948</v>
      </c>
      <c r="D39" s="3">
        <f>'Op Perf'!D37</f>
        <v>23317</v>
      </c>
      <c r="E39" s="3">
        <f>'Op Perf'!E37</f>
        <v>22427.870020000002</v>
      </c>
      <c r="F39" s="3">
        <f>'Op Perf'!F37</f>
        <v>24755</v>
      </c>
      <c r="G39" s="3">
        <f>'Op Perf'!G37</f>
        <v>23368</v>
      </c>
      <c r="H39" s="3">
        <f>'Op Perf'!H37</f>
        <v>24140</v>
      </c>
      <c r="I39" s="3">
        <f>'Op Perf'!I37</f>
        <v>25040</v>
      </c>
      <c r="J39" s="3">
        <f>'Op Perf'!J37</f>
        <v>26092</v>
      </c>
      <c r="K39" s="3">
        <f>'Op Perf'!K37</f>
        <v>26666</v>
      </c>
      <c r="L39" s="3">
        <f>'Op Perf'!L37</f>
        <v>27254</v>
      </c>
      <c r="M39" s="3">
        <f>'Op Perf'!M37</f>
        <v>27858</v>
      </c>
      <c r="N39" s="3">
        <f>'Op Perf'!N37</f>
        <v>28476</v>
      </c>
      <c r="O39" s="3">
        <f>'Op Perf'!O37</f>
        <v>29210</v>
      </c>
    </row>
    <row r="40" spans="1:15" x14ac:dyDescent="0.25"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25"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25"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x14ac:dyDescent="0.25"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x14ac:dyDescent="0.25"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 x14ac:dyDescent="0.25"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x14ac:dyDescent="0.25"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ht="3" customHeight="1" x14ac:dyDescent="0.25"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x14ac:dyDescent="0.25">
      <c r="B56" s="5">
        <f t="shared" ref="B56:O56" si="13">SUM(B37:B55)</f>
        <v>6603</v>
      </c>
      <c r="C56" s="5">
        <f t="shared" si="13"/>
        <v>-1948</v>
      </c>
      <c r="D56" s="5">
        <f t="shared" si="13"/>
        <v>23317</v>
      </c>
      <c r="E56" s="5">
        <f t="shared" si="13"/>
        <v>22427.870020000002</v>
      </c>
      <c r="F56" s="5">
        <f t="shared" si="13"/>
        <v>24924.669704714932</v>
      </c>
      <c r="G56" s="5">
        <f t="shared" si="13"/>
        <v>23537.669704714932</v>
      </c>
      <c r="H56" s="5">
        <f t="shared" si="13"/>
        <v>24309.669704714932</v>
      </c>
      <c r="I56" s="5">
        <f t="shared" si="13"/>
        <v>25209.669704714932</v>
      </c>
      <c r="J56" s="5">
        <f t="shared" si="13"/>
        <v>26261.669704714932</v>
      </c>
      <c r="K56" s="5">
        <f t="shared" si="13"/>
        <v>26835.669704714932</v>
      </c>
      <c r="L56" s="5">
        <f t="shared" si="13"/>
        <v>27423.669704714932</v>
      </c>
      <c r="M56" s="5">
        <f t="shared" si="13"/>
        <v>28027.669704714932</v>
      </c>
      <c r="N56" s="5">
        <f t="shared" si="13"/>
        <v>28645.669704714932</v>
      </c>
      <c r="O56" s="5">
        <f t="shared" si="13"/>
        <v>29379.669704714932</v>
      </c>
    </row>
    <row r="57" spans="2:15" x14ac:dyDescent="0.25">
      <c r="B57" s="3"/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</sheetData>
  <mergeCells count="1">
    <mergeCell ref="Q1: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zoomScaleNormal="100" workbookViewId="0">
      <selection activeCell="A35" sqref="A35"/>
    </sheetView>
  </sheetViews>
  <sheetFormatPr defaultRowHeight="15" x14ac:dyDescent="0.25"/>
  <cols>
    <col min="1" max="1" width="37.140625" bestFit="1" customWidth="1"/>
    <col min="2" max="2" width="8" customWidth="1"/>
    <col min="3" max="4" width="7.85546875" customWidth="1"/>
    <col min="5" max="5" width="7.7109375" customWidth="1"/>
    <col min="6" max="15" width="10.140625" bestFit="1" customWidth="1"/>
  </cols>
  <sheetData>
    <row r="1" spans="1:28" ht="15.75" thickBot="1" x14ac:dyDescent="0.3">
      <c r="B1" s="12" t="str">
        <f t="shared" ref="B1:O1" si="0">B31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</row>
    <row r="2" spans="1:28" x14ac:dyDescent="0.25">
      <c r="A2" s="7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Q2" s="46" t="str">
        <f>D1</f>
        <v>2013-14</v>
      </c>
      <c r="R2" s="46" t="str">
        <f t="shared" ref="R2:T2" si="1">E1</f>
        <v>2014-15</v>
      </c>
      <c r="S2" s="46" t="str">
        <f t="shared" si="1"/>
        <v>2015-16</v>
      </c>
      <c r="T2" s="46" t="str">
        <f t="shared" si="1"/>
        <v>2016-17</v>
      </c>
      <c r="U2" s="46" t="str">
        <f t="shared" ref="U2" si="2">H1</f>
        <v>2017-18</v>
      </c>
      <c r="V2" s="46" t="str">
        <f t="shared" ref="V2" si="3">I1</f>
        <v>2018-19</v>
      </c>
      <c r="W2" s="46" t="str">
        <f t="shared" ref="W2" si="4">J1</f>
        <v>2019-20</v>
      </c>
      <c r="X2" s="46" t="str">
        <f t="shared" ref="X2" si="5">K1</f>
        <v>2020-21</v>
      </c>
      <c r="Y2" s="46" t="str">
        <f t="shared" ref="Y2" si="6">L1</f>
        <v>2021-22</v>
      </c>
      <c r="Z2" s="46" t="str">
        <f t="shared" ref="Z2" si="7">M1</f>
        <v>2022-23</v>
      </c>
      <c r="AA2" s="46" t="str">
        <f t="shared" ref="AA2" si="8">N1</f>
        <v>2023-24</v>
      </c>
      <c r="AB2" s="46" t="str">
        <f t="shared" ref="AB2" si="9">O1</f>
        <v>2024-25</v>
      </c>
    </row>
    <row r="3" spans="1:28" ht="15.75" thickBot="1" x14ac:dyDescent="0.3">
      <c r="A3" s="10" t="s">
        <v>36</v>
      </c>
      <c r="B3" s="23">
        <f t="shared" ref="B3:E3" si="10">B35/B37</f>
        <v>3.1385622860544724</v>
      </c>
      <c r="C3" s="23">
        <f t="shared" si="10"/>
        <v>3.0746069415603676</v>
      </c>
      <c r="D3" s="23">
        <f t="shared" si="10"/>
        <v>3.8906342620035566</v>
      </c>
      <c r="E3" s="23">
        <f t="shared" si="10"/>
        <v>3.4740835165975095</v>
      </c>
      <c r="F3" s="23">
        <f t="shared" ref="F3:O3" si="11">F35/F37</f>
        <v>3.2113905227611621</v>
      </c>
      <c r="G3" s="23">
        <f t="shared" si="11"/>
        <v>3.1954395958556208</v>
      </c>
      <c r="H3" s="23">
        <f t="shared" si="11"/>
        <v>3.1608159885121538</v>
      </c>
      <c r="I3" s="23">
        <f t="shared" si="11"/>
        <v>3.1665072600251132</v>
      </c>
      <c r="J3" s="23">
        <f t="shared" si="11"/>
        <v>3.1415397068404625</v>
      </c>
      <c r="K3" s="23">
        <f t="shared" si="11"/>
        <v>3.1306769505956575</v>
      </c>
      <c r="L3" s="23">
        <f t="shared" si="11"/>
        <v>3.1140965708082828</v>
      </c>
      <c r="M3" s="23">
        <f t="shared" si="11"/>
        <v>3.1040499211664749</v>
      </c>
      <c r="N3" s="23">
        <f t="shared" si="11"/>
        <v>3.0943520756807015</v>
      </c>
      <c r="O3" s="24">
        <f t="shared" si="11"/>
        <v>3.0934565538628189</v>
      </c>
      <c r="Q3" s="43">
        <f>AVERAGE(B3:D3)</f>
        <v>3.3679344965394655</v>
      </c>
      <c r="R3" s="43">
        <f t="shared" ref="R3:T3" si="12">AVERAGE(C3:E3)</f>
        <v>3.4797749067204777</v>
      </c>
      <c r="S3" s="43">
        <f t="shared" si="12"/>
        <v>3.5253694337874095</v>
      </c>
      <c r="T3" s="43">
        <f t="shared" si="12"/>
        <v>3.2936378784047644</v>
      </c>
      <c r="U3" s="43">
        <f t="shared" ref="U3" si="13">AVERAGE(F3:H3)</f>
        <v>3.1892153690429788</v>
      </c>
      <c r="V3" s="43">
        <f t="shared" ref="V3" si="14">AVERAGE(G3:I3)</f>
        <v>3.1742542814642962</v>
      </c>
      <c r="W3" s="43">
        <f t="shared" ref="W3" si="15">AVERAGE(H3:J3)</f>
        <v>3.1562876517925766</v>
      </c>
      <c r="X3" s="43">
        <f t="shared" ref="X3" si="16">AVERAGE(I3:K3)</f>
        <v>3.1462413058204106</v>
      </c>
      <c r="Y3" s="43">
        <f t="shared" ref="Y3" si="17">AVERAGE(J3:L3)</f>
        <v>3.1287710760814673</v>
      </c>
      <c r="Z3" s="43">
        <f t="shared" ref="Z3" si="18">AVERAGE(K3:M3)</f>
        <v>3.1162744808568053</v>
      </c>
      <c r="AA3" s="43">
        <f t="shared" ref="AA3" si="19">AVERAGE(L3:N3)</f>
        <v>3.1041661892184869</v>
      </c>
      <c r="AB3" s="43">
        <f t="shared" ref="AB3" si="20">AVERAGE(M3:O3)</f>
        <v>3.0972861835699983</v>
      </c>
    </row>
    <row r="4" spans="1:28" x14ac:dyDescent="0.25">
      <c r="Q4" s="42"/>
      <c r="R4" s="42"/>
      <c r="S4" s="42"/>
      <c r="T4" s="42"/>
    </row>
    <row r="5" spans="1:28" x14ac:dyDescent="0.25">
      <c r="C5" s="6"/>
    </row>
    <row r="29" spans="1:15" x14ac:dyDescent="0.25">
      <c r="A29" s="22" t="s">
        <v>39</v>
      </c>
      <c r="E29">
        <v>2.5000000000000001E-2</v>
      </c>
      <c r="F29">
        <f>([1]HACC!Y4CPI)-1</f>
        <v>2.4999999999999911E-2</v>
      </c>
      <c r="G29">
        <f>([1]HACC!Y4CPI)-1</f>
        <v>2.4999999999999911E-2</v>
      </c>
      <c r="H29">
        <f>([1]HACC!Y4CPI)-1</f>
        <v>2.4999999999999911E-2</v>
      </c>
      <c r="I29">
        <f>([1]HACC!Y4CPI)-1</f>
        <v>2.4999999999999911E-2</v>
      </c>
      <c r="J29">
        <f>([1]HACC!Y4CPI)-1</f>
        <v>2.4999999999999911E-2</v>
      </c>
      <c r="K29">
        <f>([1]HACC!Y4CPI)-1</f>
        <v>2.4999999999999911E-2</v>
      </c>
      <c r="L29">
        <f>([1]HACC!Y4CPI)-1</f>
        <v>2.4999999999999911E-2</v>
      </c>
      <c r="M29">
        <f>([1]HACC!Y4CPI)-1</f>
        <v>2.4999999999999911E-2</v>
      </c>
      <c r="N29">
        <f>([1]HACC!Y4CPI)-1</f>
        <v>2.4999999999999911E-2</v>
      </c>
      <c r="O29">
        <f>([1]HACC!Y4CPI)-1</f>
        <v>2.4999999999999911E-2</v>
      </c>
    </row>
    <row r="30" spans="1:15" x14ac:dyDescent="0.25">
      <c r="B30" s="1" t="s">
        <v>3</v>
      </c>
      <c r="C30" s="1" t="s">
        <v>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3</v>
      </c>
    </row>
    <row r="31" spans="1:15" x14ac:dyDescent="0.25">
      <c r="B31" s="2" t="s">
        <v>18</v>
      </c>
      <c r="C31" s="2" t="s">
        <v>17</v>
      </c>
      <c r="D31" s="2" t="s">
        <v>16</v>
      </c>
      <c r="E31" s="2" t="s">
        <v>19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</row>
    <row r="32" spans="1:15" x14ac:dyDescent="0.25">
      <c r="A32" s="18" t="s">
        <v>38</v>
      </c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t="str">
        <f>'[1]LTFP Op Scen. 2'!$A$67</f>
        <v>Total Expenses from Continuing Operations</v>
      </c>
      <c r="B33" s="3"/>
      <c r="C33" s="3"/>
      <c r="D33" s="3"/>
      <c r="E33" s="4"/>
      <c r="F33" s="3">
        <v>22226.11615137674</v>
      </c>
      <c r="G33" s="3">
        <v>22682.789104887554</v>
      </c>
      <c r="H33" s="3">
        <v>23012.321896706297</v>
      </c>
      <c r="I33" s="3">
        <v>23644.879180434087</v>
      </c>
      <c r="J33" s="3">
        <v>24059.940482665479</v>
      </c>
      <c r="K33" s="3">
        <v>24591.534849328698</v>
      </c>
      <c r="L33" s="3">
        <v>25088.508317055359</v>
      </c>
      <c r="M33" s="3">
        <v>25648.787860504046</v>
      </c>
      <c r="N33" s="3">
        <v>26224.26101565799</v>
      </c>
      <c r="O33" s="3">
        <v>26888.893924255557</v>
      </c>
    </row>
    <row r="34" spans="1:15" x14ac:dyDescent="0.25"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t="s">
        <v>107</v>
      </c>
      <c r="B35" s="5">
        <v>21088</v>
      </c>
      <c r="C35" s="5">
        <v>20729</v>
      </c>
      <c r="D35" s="5">
        <v>26254</v>
      </c>
      <c r="E35" s="5">
        <f>'Op Perf'!E39</f>
        <v>23443.115569999994</v>
      </c>
      <c r="F35" s="47">
        <f>F33*(1-$E29)</f>
        <v>21670.463247592321</v>
      </c>
      <c r="G35" s="47">
        <f>G33*(1-$E29)*(1-$F29)</f>
        <v>21562.826392833729</v>
      </c>
      <c r="H35" s="47">
        <f>H33*(1-$E29)*(1-$F29)*(1-$G29)</f>
        <v>21329.186290480015</v>
      </c>
      <c r="I35" s="47">
        <f>I33*(1-$E29)*(1-$F29)*(1-$G29)*(1-$H29)</f>
        <v>21367.590990649463</v>
      </c>
      <c r="J35" s="47">
        <f>J33*(1-$E29)*(1-$F29)*(1-$G29)*(1-$H29)*(1-$I29)</f>
        <v>21199.109941759441</v>
      </c>
      <c r="K35" s="47">
        <f>K33*(1-$E29)*(1-$F29)*(1-$G29)*(1-$H29)*(1-$I29)*(1-$J29)</f>
        <v>21125.808062619497</v>
      </c>
      <c r="L35" s="47">
        <f>L33*(1-$E29)*(1-$F29)*(1-$G29)*(1-$H29)*(1-$I29)*(1-$J29)*(1-$K29)</f>
        <v>21013.923659814292</v>
      </c>
      <c r="M35" s="47">
        <f>M33*(1-$E29)*(1-$F29)*(1-$G29)*(1-$H29)*(1-$I29)*(1-$J29)*(1-$K29)*(1-$L29)</f>
        <v>20946.128868031374</v>
      </c>
      <c r="N35" s="47">
        <f>N33*(1-$E29)*(1-$F29)*(1-$G29)*(1-$H29)*(1-$I29)*(1-$J29)*(1-$K29)*(1-$L29)*(1-$M29)</f>
        <v>20880.687806693375</v>
      </c>
      <c r="O35" s="47">
        <f>O33*(1-$E29)*(1-$F29)*(1-$G29)*(1-$H29)*(1-$I29)*(1-$J29)*(1-$K29)*(1-$L29)*(1-$M29)*(1-$N29)</f>
        <v>20874.644825466301</v>
      </c>
    </row>
    <row r="36" spans="1:15" x14ac:dyDescent="0.25">
      <c r="A36" s="38"/>
      <c r="B36" s="39"/>
      <c r="C36" s="39"/>
      <c r="D36" s="39"/>
      <c r="E36" s="40"/>
    </row>
    <row r="37" spans="1:15" x14ac:dyDescent="0.25">
      <c r="A37" s="18" t="s">
        <v>40</v>
      </c>
      <c r="B37" s="3">
        <v>6719</v>
      </c>
      <c r="C37" s="3">
        <v>6742</v>
      </c>
      <c r="D37" s="3">
        <v>6748</v>
      </c>
      <c r="E37" s="3">
        <v>6748</v>
      </c>
      <c r="F37" s="3">
        <v>6748</v>
      </c>
      <c r="G37" s="3">
        <v>6748</v>
      </c>
      <c r="H37" s="3">
        <v>6748</v>
      </c>
      <c r="I37" s="3">
        <v>6748</v>
      </c>
      <c r="J37" s="3">
        <v>6748</v>
      </c>
      <c r="K37" s="3">
        <v>6748</v>
      </c>
      <c r="L37" s="3">
        <v>6748</v>
      </c>
      <c r="M37" s="3">
        <v>6748</v>
      </c>
      <c r="N37" s="3">
        <v>6748</v>
      </c>
      <c r="O37" s="3">
        <v>6748</v>
      </c>
    </row>
    <row r="38" spans="1:15" x14ac:dyDescent="0.25"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B39" s="3"/>
      <c r="C39" s="3"/>
      <c r="D39" s="3"/>
      <c r="E39" s="4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B40" s="3"/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">
    <mergeCell ref="Q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4"/>
  <sheetViews>
    <sheetView zoomScaleNormal="100" workbookViewId="0">
      <selection activeCell="L87" sqref="L87"/>
    </sheetView>
  </sheetViews>
  <sheetFormatPr defaultRowHeight="15" x14ac:dyDescent="0.25"/>
  <cols>
    <col min="1" max="1" width="37.140625" bestFit="1" customWidth="1"/>
    <col min="2" max="4" width="10.5703125" bestFit="1" customWidth="1"/>
    <col min="5" max="5" width="11.7109375" customWidth="1"/>
    <col min="6" max="15" width="10.7109375" bestFit="1" customWidth="1"/>
    <col min="18" max="25" width="10.7109375" bestFit="1" customWidth="1"/>
    <col min="27" max="28" width="10.7109375" bestFit="1" customWidth="1"/>
  </cols>
  <sheetData>
    <row r="1" spans="1:28" ht="15.75" thickBot="1" x14ac:dyDescent="0.3">
      <c r="B1" s="32" t="str">
        <f t="shared" ref="B1:O1" si="0">B33</f>
        <v>2011-12</v>
      </c>
      <c r="C1" s="32" t="str">
        <f t="shared" si="0"/>
        <v>2012-13</v>
      </c>
      <c r="D1" s="32" t="str">
        <f t="shared" si="0"/>
        <v>2013-14</v>
      </c>
      <c r="E1" s="32" t="str">
        <f t="shared" si="0"/>
        <v>2014-15 Est</v>
      </c>
      <c r="F1" s="32" t="str">
        <f t="shared" si="0"/>
        <v>2015-16 Est</v>
      </c>
      <c r="G1" s="32" t="str">
        <f t="shared" si="0"/>
        <v>2016-17 Est</v>
      </c>
      <c r="H1" s="32" t="str">
        <f t="shared" si="0"/>
        <v>2017-18 Est</v>
      </c>
      <c r="I1" s="32" t="str">
        <f t="shared" si="0"/>
        <v>2018-19 Est</v>
      </c>
      <c r="J1" s="32" t="str">
        <f t="shared" si="0"/>
        <v>2019-20 Est</v>
      </c>
      <c r="K1" s="32" t="str">
        <f t="shared" si="0"/>
        <v>2020-21 Est</v>
      </c>
      <c r="L1" s="32" t="str">
        <f t="shared" si="0"/>
        <v>2021-22 Est</v>
      </c>
      <c r="M1" s="32" t="str">
        <f t="shared" si="0"/>
        <v>2022-23 Est</v>
      </c>
      <c r="N1" s="32" t="str">
        <f t="shared" si="0"/>
        <v>2023-24 Est</v>
      </c>
      <c r="O1" s="32" t="str">
        <f t="shared" si="0"/>
        <v>2024-25 Est</v>
      </c>
      <c r="Q1" s="48" t="s">
        <v>106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</row>
    <row r="2" spans="1:28" x14ac:dyDescent="0.25">
      <c r="A2" s="7" t="s">
        <v>45</v>
      </c>
      <c r="B2" s="14">
        <v>1</v>
      </c>
      <c r="C2" s="14">
        <v>1</v>
      </c>
      <c r="D2" s="14">
        <v>1</v>
      </c>
      <c r="E2" s="14">
        <v>1</v>
      </c>
      <c r="F2" s="14">
        <v>1</v>
      </c>
      <c r="G2" s="14">
        <v>1</v>
      </c>
      <c r="H2" s="14">
        <v>1</v>
      </c>
      <c r="I2" s="14">
        <v>1</v>
      </c>
      <c r="J2" s="14">
        <v>1</v>
      </c>
      <c r="K2" s="14">
        <v>1</v>
      </c>
      <c r="L2" s="14">
        <v>1</v>
      </c>
      <c r="M2" s="14">
        <v>1</v>
      </c>
      <c r="N2" s="14">
        <v>1</v>
      </c>
      <c r="O2" s="15">
        <v>1</v>
      </c>
      <c r="Q2" s="46" t="str">
        <f>D1</f>
        <v>2013-14</v>
      </c>
      <c r="R2" s="46" t="str">
        <f t="shared" ref="R2:AB2" si="1">E1</f>
        <v>2014-15 Est</v>
      </c>
      <c r="S2" s="46" t="str">
        <f t="shared" si="1"/>
        <v>2015-16 Est</v>
      </c>
      <c r="T2" s="46" t="str">
        <f t="shared" si="1"/>
        <v>2016-17 Est</v>
      </c>
      <c r="U2" s="46" t="str">
        <f t="shared" si="1"/>
        <v>2017-18 Est</v>
      </c>
      <c r="V2" s="46" t="str">
        <f t="shared" si="1"/>
        <v>2018-19 Est</v>
      </c>
      <c r="W2" s="46" t="str">
        <f t="shared" si="1"/>
        <v>2019-20 Est</v>
      </c>
      <c r="X2" s="46" t="str">
        <f t="shared" si="1"/>
        <v>2020-21 Est</v>
      </c>
      <c r="Y2" s="46" t="str">
        <f t="shared" si="1"/>
        <v>2021-22 Est</v>
      </c>
      <c r="Z2" s="46" t="str">
        <f t="shared" si="1"/>
        <v>2022-23 Est</v>
      </c>
      <c r="AA2" s="46" t="str">
        <f t="shared" si="1"/>
        <v>2023-24 Est</v>
      </c>
      <c r="AB2" s="46" t="str">
        <f t="shared" si="1"/>
        <v>2024-25 Est</v>
      </c>
    </row>
    <row r="3" spans="1:28" ht="15.75" thickBot="1" x14ac:dyDescent="0.3">
      <c r="A3" s="10" t="s">
        <v>85</v>
      </c>
      <c r="B3" s="13">
        <f t="shared" ref="B3:O3" si="2">B64/B98</f>
        <v>0.43484754200373366</v>
      </c>
      <c r="C3" s="13">
        <f t="shared" si="2"/>
        <v>0.40717761557177617</v>
      </c>
      <c r="D3" s="13">
        <f t="shared" si="2"/>
        <v>0.45764398557034458</v>
      </c>
      <c r="E3" s="13">
        <f t="shared" si="2"/>
        <v>0.98927045240125122</v>
      </c>
      <c r="F3" s="13">
        <f t="shared" si="2"/>
        <v>1.0018252966422621</v>
      </c>
      <c r="G3" s="13">
        <f t="shared" si="2"/>
        <v>1.0399371543489191</v>
      </c>
      <c r="H3" s="13">
        <f t="shared" si="2"/>
        <v>1.0439929771758214</v>
      </c>
      <c r="I3" s="13">
        <f t="shared" si="2"/>
        <v>1.0423575</v>
      </c>
      <c r="J3" s="13">
        <f t="shared" si="2"/>
        <v>1.0495663672654691</v>
      </c>
      <c r="K3" s="13">
        <f t="shared" si="2"/>
        <v>1.0449673723536737</v>
      </c>
      <c r="L3" s="13">
        <f t="shared" si="2"/>
        <v>1.0488020859200398</v>
      </c>
      <c r="M3" s="13">
        <f t="shared" si="2"/>
        <v>1.04804900990099</v>
      </c>
      <c r="N3" s="13">
        <f t="shared" si="2"/>
        <v>1.0479684028634906</v>
      </c>
      <c r="O3" s="16">
        <f t="shared" si="2"/>
        <v>1.0479986735403537</v>
      </c>
      <c r="Q3" s="42">
        <f>AVERAGE(B3:D3)</f>
        <v>0.4332230477152848</v>
      </c>
      <c r="R3" s="42">
        <f t="shared" ref="R3:T3" si="3">AVERAGE(C3:E3)</f>
        <v>0.61803068451445731</v>
      </c>
      <c r="S3" s="42">
        <f t="shared" si="3"/>
        <v>0.81624657820461932</v>
      </c>
      <c r="T3" s="42">
        <f t="shared" si="3"/>
        <v>1.0103443011308109</v>
      </c>
      <c r="U3" s="42">
        <f t="shared" ref="U3" si="4">AVERAGE(F3:H3)</f>
        <v>1.0285851427223343</v>
      </c>
      <c r="V3" s="42">
        <f t="shared" ref="V3" si="5">AVERAGE(G3:I3)</f>
        <v>1.0420958771749136</v>
      </c>
      <c r="W3" s="42">
        <f t="shared" ref="W3" si="6">AVERAGE(H3:J3)</f>
        <v>1.0453056148137636</v>
      </c>
      <c r="X3" s="42">
        <f t="shared" ref="X3" si="7">AVERAGE(I3:K3)</f>
        <v>1.0456304132063809</v>
      </c>
      <c r="Y3" s="42">
        <f t="shared" ref="Y3" si="8">AVERAGE(J3:L3)</f>
        <v>1.0477786085130609</v>
      </c>
      <c r="Z3" s="42">
        <f t="shared" ref="Z3" si="9">AVERAGE(K3:M3)</f>
        <v>1.0472728227249011</v>
      </c>
      <c r="AA3" s="42">
        <f t="shared" ref="AA3" si="10">AVERAGE(L3:N3)</f>
        <v>1.0482731662281735</v>
      </c>
      <c r="AB3" s="42">
        <f t="shared" ref="AB3" si="11">AVERAGE(M3:O3)</f>
        <v>1.0480053621016114</v>
      </c>
    </row>
    <row r="5" spans="1:28" x14ac:dyDescent="0.25">
      <c r="C5" s="6"/>
    </row>
    <row r="32" spans="2:15" x14ac:dyDescent="0.25">
      <c r="B32" s="1" t="s">
        <v>3</v>
      </c>
      <c r="C32" s="1" t="s">
        <v>3</v>
      </c>
      <c r="D32" s="1" t="s">
        <v>3</v>
      </c>
      <c r="E32" s="1" t="s">
        <v>3</v>
      </c>
      <c r="F32" s="1" t="s">
        <v>3</v>
      </c>
      <c r="G32" s="1" t="s">
        <v>3</v>
      </c>
      <c r="H32" s="1" t="s">
        <v>3</v>
      </c>
      <c r="I32" s="1" t="s">
        <v>3</v>
      </c>
      <c r="J32" s="1" t="s">
        <v>3</v>
      </c>
      <c r="K32" s="1" t="s">
        <v>3</v>
      </c>
      <c r="L32" s="1" t="s">
        <v>3</v>
      </c>
      <c r="M32" s="1" t="s">
        <v>3</v>
      </c>
      <c r="N32" s="1" t="s">
        <v>3</v>
      </c>
      <c r="O32" s="1" t="s">
        <v>3</v>
      </c>
    </row>
    <row r="33" spans="1:15" x14ac:dyDescent="0.25">
      <c r="B33" s="28" t="s">
        <v>18</v>
      </c>
      <c r="C33" s="28" t="s">
        <v>17</v>
      </c>
      <c r="D33" s="28" t="s">
        <v>16</v>
      </c>
      <c r="E33" s="28" t="s">
        <v>74</v>
      </c>
      <c r="F33" s="28" t="s">
        <v>75</v>
      </c>
      <c r="G33" s="28" t="s">
        <v>76</v>
      </c>
      <c r="H33" s="28" t="s">
        <v>77</v>
      </c>
      <c r="I33" s="28" t="s">
        <v>78</v>
      </c>
      <c r="J33" s="28" t="s">
        <v>79</v>
      </c>
      <c r="K33" s="28" t="s">
        <v>80</v>
      </c>
      <c r="L33" s="28" t="s">
        <v>81</v>
      </c>
      <c r="M33" s="28" t="s">
        <v>82</v>
      </c>
      <c r="N33" s="28" t="s">
        <v>83</v>
      </c>
      <c r="O33" s="28" t="s">
        <v>84</v>
      </c>
    </row>
    <row r="34" spans="1:15" x14ac:dyDescent="0.25">
      <c r="A34" s="18" t="s">
        <v>41</v>
      </c>
      <c r="B34" s="51" t="s">
        <v>43</v>
      </c>
      <c r="C34" s="52"/>
      <c r="D34" s="5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26" t="s">
        <v>63</v>
      </c>
      <c r="B35" s="25"/>
      <c r="C35" s="25"/>
      <c r="D35" s="25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t="s">
        <v>44</v>
      </c>
      <c r="B36" s="3">
        <v>25000</v>
      </c>
      <c r="C36" s="3">
        <v>26000</v>
      </c>
      <c r="D36" s="3">
        <v>17000</v>
      </c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t="s">
        <v>46</v>
      </c>
      <c r="B37" s="3">
        <v>25000</v>
      </c>
      <c r="C37" s="3">
        <v>42000</v>
      </c>
      <c r="D37" s="3">
        <v>32000</v>
      </c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t="s">
        <v>47</v>
      </c>
      <c r="B38" s="3">
        <v>25000</v>
      </c>
      <c r="C38" s="3">
        <v>26000</v>
      </c>
      <c r="D38" s="3">
        <v>60000</v>
      </c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t="s">
        <v>67</v>
      </c>
      <c r="B39" s="3">
        <v>60000</v>
      </c>
      <c r="C39" s="3">
        <v>62000</v>
      </c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t="s">
        <v>48</v>
      </c>
      <c r="B40" s="3">
        <v>4000</v>
      </c>
      <c r="C40" s="3">
        <v>4000</v>
      </c>
      <c r="D40" s="3">
        <v>6000</v>
      </c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t="s">
        <v>49</v>
      </c>
      <c r="B41" s="3"/>
      <c r="C41" s="3"/>
      <c r="D41" s="3">
        <v>6000</v>
      </c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t="s">
        <v>50</v>
      </c>
      <c r="B42" s="3"/>
      <c r="C42" s="3"/>
      <c r="D42" s="3">
        <v>49000</v>
      </c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t="s">
        <v>51</v>
      </c>
      <c r="B43" s="3">
        <v>60000</v>
      </c>
      <c r="C43" s="3">
        <v>36000</v>
      </c>
      <c r="D43" s="3">
        <v>40000</v>
      </c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t="s">
        <v>52</v>
      </c>
      <c r="B44" s="3"/>
      <c r="C44" s="3"/>
      <c r="D44" s="3">
        <v>110000</v>
      </c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t="s">
        <v>68</v>
      </c>
      <c r="B45" s="3">
        <v>15000</v>
      </c>
      <c r="C45" s="3">
        <v>15000</v>
      </c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t="s">
        <v>69</v>
      </c>
      <c r="B46" s="3">
        <v>0</v>
      </c>
      <c r="C46" s="3">
        <v>85000</v>
      </c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t="s">
        <v>70</v>
      </c>
      <c r="B47" s="3">
        <v>10000</v>
      </c>
      <c r="C47" s="3">
        <v>10000</v>
      </c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t="s">
        <v>71</v>
      </c>
      <c r="B48" s="3">
        <v>40000</v>
      </c>
      <c r="C48" s="3">
        <v>49000</v>
      </c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t="s">
        <v>72</v>
      </c>
      <c r="B49" s="3">
        <v>25000</v>
      </c>
      <c r="C49" s="3">
        <v>26000</v>
      </c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t="s">
        <v>53</v>
      </c>
      <c r="B50" s="3">
        <v>50000</v>
      </c>
      <c r="C50" s="3">
        <v>26000</v>
      </c>
      <c r="D50" s="3">
        <v>476000</v>
      </c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26" t="s">
        <v>65</v>
      </c>
      <c r="B51" s="3">
        <v>50000</v>
      </c>
      <c r="C51" s="3">
        <v>0</v>
      </c>
      <c r="D51" s="3">
        <v>0</v>
      </c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26" t="s">
        <v>64</v>
      </c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t="s">
        <v>54</v>
      </c>
      <c r="B53" s="3">
        <v>886000</v>
      </c>
      <c r="C53" s="3">
        <v>1024000</v>
      </c>
      <c r="D53" s="3">
        <v>341000</v>
      </c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t="s">
        <v>55</v>
      </c>
      <c r="B54" s="3" t="s">
        <v>73</v>
      </c>
      <c r="C54" s="3"/>
      <c r="D54" s="3">
        <v>434000</v>
      </c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t="s">
        <v>56</v>
      </c>
      <c r="B55" s="3">
        <v>1164000</v>
      </c>
      <c r="C55" s="3">
        <v>1591000</v>
      </c>
      <c r="D55" s="3">
        <v>1755000</v>
      </c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t="s">
        <v>57</v>
      </c>
      <c r="B56" s="3">
        <v>15000</v>
      </c>
      <c r="C56" s="3">
        <v>32000</v>
      </c>
      <c r="D56" s="3">
        <v>15000</v>
      </c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t="s">
        <v>58</v>
      </c>
      <c r="B57" s="3">
        <v>71000</v>
      </c>
      <c r="C57" s="3">
        <v>107000</v>
      </c>
      <c r="D57" s="3">
        <v>112000</v>
      </c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t="s">
        <v>59</v>
      </c>
      <c r="B58" s="3">
        <v>0</v>
      </c>
      <c r="C58" s="3">
        <v>0</v>
      </c>
      <c r="D58" s="3">
        <v>0</v>
      </c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t="s">
        <v>60</v>
      </c>
      <c r="B59" s="3">
        <v>0</v>
      </c>
      <c r="C59" s="3">
        <v>32000</v>
      </c>
      <c r="D59" s="3">
        <v>4000</v>
      </c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t="s">
        <v>61</v>
      </c>
      <c r="B60" s="3">
        <v>943000</v>
      </c>
      <c r="C60" s="3">
        <v>127000</v>
      </c>
      <c r="D60" s="3">
        <v>107000</v>
      </c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t="s">
        <v>62</v>
      </c>
      <c r="B61" s="3">
        <v>0</v>
      </c>
      <c r="C61" s="3">
        <v>0</v>
      </c>
      <c r="D61" s="3">
        <v>81000</v>
      </c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26" t="s">
        <v>66</v>
      </c>
      <c r="B62" s="3">
        <v>26000</v>
      </c>
      <c r="C62" s="3">
        <v>27000</v>
      </c>
      <c r="D62" s="3">
        <v>34000</v>
      </c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3" customHeight="1" x14ac:dyDescent="0.25"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B64" s="5">
        <f t="shared" ref="B64:D64" si="12">SUM(B34:B63)</f>
        <v>3494000</v>
      </c>
      <c r="C64" s="5">
        <f t="shared" si="12"/>
        <v>3347000</v>
      </c>
      <c r="D64" s="5">
        <f t="shared" si="12"/>
        <v>3679000</v>
      </c>
      <c r="E64" s="5">
        <v>3884865.0665797135</v>
      </c>
      <c r="F64" s="5">
        <v>3968230</v>
      </c>
      <c r="G64" s="5">
        <v>4136870</v>
      </c>
      <c r="H64" s="5">
        <v>4162400</v>
      </c>
      <c r="I64" s="5">
        <v>4169430</v>
      </c>
      <c r="J64" s="5">
        <v>4206662</v>
      </c>
      <c r="K64" s="5">
        <v>4195544</v>
      </c>
      <c r="L64" s="5">
        <v>4223526</v>
      </c>
      <c r="M64" s="5">
        <v>4234118</v>
      </c>
      <c r="N64" s="5">
        <v>4245320</v>
      </c>
      <c r="O64" s="5">
        <v>4257002</v>
      </c>
    </row>
    <row r="65" spans="1:15" x14ac:dyDescent="0.25">
      <c r="B65" s="3"/>
      <c r="C65" s="3"/>
      <c r="D65" s="3"/>
      <c r="E65" s="4" t="s">
        <v>93</v>
      </c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22" t="s">
        <v>104</v>
      </c>
      <c r="E66" s="30">
        <f>E98*1.05</f>
        <v>4123350</v>
      </c>
      <c r="F66" s="30">
        <f>F98*1.05</f>
        <v>4159050</v>
      </c>
      <c r="G66" s="30">
        <f>G98*1.05</f>
        <v>4176900</v>
      </c>
      <c r="H66" s="30">
        <f t="shared" ref="H66:O66" si="13">H98*1.05</f>
        <v>4186350</v>
      </c>
      <c r="I66" s="30">
        <f t="shared" si="13"/>
        <v>4200000</v>
      </c>
      <c r="J66" s="30">
        <f t="shared" si="13"/>
        <v>4208400</v>
      </c>
      <c r="K66" s="30">
        <f t="shared" si="13"/>
        <v>4215750</v>
      </c>
      <c r="L66" s="30">
        <f t="shared" si="13"/>
        <v>4228350</v>
      </c>
      <c r="M66" s="30">
        <f t="shared" si="13"/>
        <v>4242000</v>
      </c>
      <c r="N66" s="30">
        <f t="shared" si="13"/>
        <v>4253550</v>
      </c>
      <c r="O66" s="30">
        <f t="shared" si="13"/>
        <v>4265131.4480198016</v>
      </c>
    </row>
    <row r="67" spans="1:15" x14ac:dyDescent="0.25">
      <c r="A67" s="22" t="s">
        <v>105</v>
      </c>
      <c r="E67" s="30">
        <f>E66-E64</f>
        <v>238484.93342028651</v>
      </c>
      <c r="F67" s="30">
        <f t="shared" ref="F67:O67" si="14">F66-F64</f>
        <v>190820</v>
      </c>
      <c r="G67" s="30">
        <f t="shared" si="14"/>
        <v>40030</v>
      </c>
      <c r="H67" s="30">
        <f t="shared" si="14"/>
        <v>23950</v>
      </c>
      <c r="I67" s="30">
        <f t="shared" si="14"/>
        <v>30570</v>
      </c>
      <c r="J67" s="30">
        <f t="shared" si="14"/>
        <v>1738</v>
      </c>
      <c r="K67" s="30">
        <f t="shared" si="14"/>
        <v>20206</v>
      </c>
      <c r="L67" s="30">
        <f t="shared" si="14"/>
        <v>4824</v>
      </c>
      <c r="M67" s="30">
        <f t="shared" si="14"/>
        <v>7882</v>
      </c>
      <c r="N67" s="30">
        <f t="shared" si="14"/>
        <v>8230</v>
      </c>
      <c r="O67" s="30">
        <f t="shared" si="14"/>
        <v>8129.448019801639</v>
      </c>
    </row>
    <row r="68" spans="1:15" x14ac:dyDescent="0.25">
      <c r="A68" s="18" t="s">
        <v>42</v>
      </c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26" t="str">
        <f t="shared" ref="A69:A96" si="15">A35</f>
        <v>Buildings:</v>
      </c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t="str">
        <f t="shared" si="15"/>
        <v>Council Offices/Admin</v>
      </c>
      <c r="B70" s="3">
        <v>70000</v>
      </c>
      <c r="C70" s="3">
        <v>75000</v>
      </c>
      <c r="D70" s="3">
        <v>52000</v>
      </c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t="str">
        <f t="shared" si="15"/>
        <v>Works Depot</v>
      </c>
      <c r="B71" s="3">
        <v>70000</v>
      </c>
      <c r="C71" s="3">
        <v>75000</v>
      </c>
      <c r="D71" s="3">
        <v>23000</v>
      </c>
      <c r="E71" s="4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t="str">
        <f t="shared" si="15"/>
        <v>Public Halls</v>
      </c>
      <c r="B72" s="3">
        <v>150000</v>
      </c>
      <c r="C72" s="3">
        <v>155000</v>
      </c>
      <c r="D72" s="3">
        <v>71000</v>
      </c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t="str">
        <f t="shared" si="15"/>
        <v>Dwellings</v>
      </c>
      <c r="B73" s="3">
        <v>100000</v>
      </c>
      <c r="C73" s="3">
        <v>105000</v>
      </c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t="str">
        <f t="shared" si="15"/>
        <v>Libraries</v>
      </c>
      <c r="B74" s="3">
        <v>40000</v>
      </c>
      <c r="C74" s="3">
        <v>45000</v>
      </c>
      <c r="D74" s="3">
        <v>10000</v>
      </c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t="str">
        <f t="shared" si="15"/>
        <v>Cultural Facilities</v>
      </c>
      <c r="B75" s="3"/>
      <c r="C75" s="3"/>
      <c r="D75" s="3">
        <v>45000</v>
      </c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t="str">
        <f t="shared" si="15"/>
        <v>Specialised Buildings</v>
      </c>
      <c r="B76" s="3"/>
      <c r="C76" s="3"/>
      <c r="D76" s="3">
        <v>243000</v>
      </c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t="str">
        <f t="shared" si="15"/>
        <v>Caravan Parks/Camping Grounds</v>
      </c>
      <c r="B77" s="3">
        <v>200000</v>
      </c>
      <c r="C77" s="3">
        <v>205000</v>
      </c>
      <c r="D77" s="3">
        <v>31000</v>
      </c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t="str">
        <f t="shared" si="15"/>
        <v>Sporting/Recreation Facilities</v>
      </c>
      <c r="B78" s="3"/>
      <c r="C78" s="3"/>
      <c r="D78" s="3">
        <v>205000</v>
      </c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t="str">
        <f t="shared" si="15"/>
        <v>Medical Centres</v>
      </c>
      <c r="B79" s="3">
        <v>100000</v>
      </c>
      <c r="C79" s="3">
        <v>105000</v>
      </c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t="str">
        <f t="shared" si="15"/>
        <v>Retirement Village</v>
      </c>
      <c r="B80" s="3">
        <v>80000</v>
      </c>
      <c r="C80" s="3">
        <v>85000</v>
      </c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t="str">
        <f t="shared" si="15"/>
        <v>Amenities/Toilets</v>
      </c>
      <c r="B81" s="3">
        <v>300000</v>
      </c>
      <c r="C81" s="3">
        <v>305000</v>
      </c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t="str">
        <f t="shared" si="15"/>
        <v>Parks/Sporting Grounds</v>
      </c>
      <c r="B82" s="3">
        <v>600000</v>
      </c>
      <c r="C82" s="3">
        <v>605000</v>
      </c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t="str">
        <f t="shared" si="15"/>
        <v>Swimming Pools</v>
      </c>
      <c r="B83" s="3">
        <v>200000</v>
      </c>
      <c r="C83" s="3">
        <v>205000</v>
      </c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t="str">
        <f t="shared" si="15"/>
        <v>Other Buildings</v>
      </c>
      <c r="B84" s="3">
        <v>150000</v>
      </c>
      <c r="C84" s="3">
        <v>0</v>
      </c>
      <c r="D84" s="3">
        <v>97000</v>
      </c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26" t="str">
        <f t="shared" si="15"/>
        <v>Other Structures:</v>
      </c>
      <c r="B85" s="3">
        <v>100000</v>
      </c>
      <c r="C85" s="3">
        <v>0</v>
      </c>
      <c r="D85" s="3">
        <v>2464000</v>
      </c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26" t="str">
        <f t="shared" si="15"/>
        <v>Roads:</v>
      </c>
      <c r="B86" s="3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27" t="str">
        <f t="shared" si="15"/>
        <v>Sealed Roads Surface</v>
      </c>
      <c r="B87" s="3">
        <v>2000000</v>
      </c>
      <c r="C87" s="3">
        <v>150000</v>
      </c>
      <c r="D87" s="3">
        <v>724000</v>
      </c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27" t="str">
        <f t="shared" si="15"/>
        <v>Sealed Roads Structure</v>
      </c>
      <c r="B88" s="3"/>
      <c r="C88" s="3"/>
      <c r="D88" s="3">
        <v>772000</v>
      </c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27" t="str">
        <f t="shared" si="15"/>
        <v>Unsealed Roads</v>
      </c>
      <c r="B89" s="3">
        <v>3000000</v>
      </c>
      <c r="C89" s="3">
        <v>5500000</v>
      </c>
      <c r="D89" s="3">
        <v>2501000</v>
      </c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27" t="str">
        <f t="shared" si="15"/>
        <v>Bridges</v>
      </c>
      <c r="B90" s="3">
        <v>150000</v>
      </c>
      <c r="C90" s="3">
        <v>50000</v>
      </c>
      <c r="D90" s="3">
        <v>50000</v>
      </c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27" t="str">
        <f t="shared" si="15"/>
        <v>Footpaths</v>
      </c>
      <c r="B91" s="3">
        <v>250000</v>
      </c>
      <c r="C91" s="3">
        <v>250000</v>
      </c>
      <c r="D91" s="3">
        <v>250000</v>
      </c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27" t="str">
        <f t="shared" si="15"/>
        <v>Cycleways</v>
      </c>
      <c r="B92" s="3"/>
      <c r="C92" s="3"/>
      <c r="D92" s="3">
        <v>1000</v>
      </c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27" t="str">
        <f t="shared" si="15"/>
        <v>Kerb and Gutter</v>
      </c>
      <c r="B93" s="3">
        <v>150000</v>
      </c>
      <c r="C93" s="3">
        <v>50000</v>
      </c>
      <c r="D93" s="3">
        <v>50000</v>
      </c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27" t="str">
        <f t="shared" si="15"/>
        <v>Traffic Facilities</v>
      </c>
      <c r="B94" s="3">
        <v>250000</v>
      </c>
      <c r="C94" s="3">
        <v>180000</v>
      </c>
      <c r="D94" s="3">
        <v>130000</v>
      </c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27" t="str">
        <f t="shared" si="15"/>
        <v>Roads Other</v>
      </c>
      <c r="B95" s="3">
        <v>0</v>
      </c>
      <c r="C95" s="3">
        <v>0</v>
      </c>
      <c r="D95" s="3">
        <v>100000</v>
      </c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27" t="str">
        <f t="shared" si="15"/>
        <v>Stormwater Drainage:</v>
      </c>
      <c r="B96" s="3">
        <v>75000</v>
      </c>
      <c r="C96" s="3">
        <v>75000</v>
      </c>
      <c r="D96" s="3">
        <v>220000</v>
      </c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3" customHeight="1" x14ac:dyDescent="0.25">
      <c r="B97" s="3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B98" s="5">
        <f t="shared" ref="B98:D98" si="16">SUM(B68:B97)</f>
        <v>8035000</v>
      </c>
      <c r="C98" s="5">
        <f t="shared" si="16"/>
        <v>8220000</v>
      </c>
      <c r="D98" s="5">
        <f t="shared" si="16"/>
        <v>8039000</v>
      </c>
      <c r="E98" s="5">
        <v>3927000</v>
      </c>
      <c r="F98" s="5">
        <v>3961000</v>
      </c>
      <c r="G98" s="5">
        <v>3978000</v>
      </c>
      <c r="H98" s="5">
        <v>3987000</v>
      </c>
      <c r="I98" s="5">
        <v>4000000</v>
      </c>
      <c r="J98" s="5">
        <v>4008000</v>
      </c>
      <c r="K98" s="5">
        <v>4015000</v>
      </c>
      <c r="L98" s="5">
        <v>4027000</v>
      </c>
      <c r="M98" s="5">
        <v>4040000</v>
      </c>
      <c r="N98" s="5">
        <v>4051000</v>
      </c>
      <c r="O98" s="5">
        <f>(N98/M98)*N98</f>
        <v>4062029.9504950489</v>
      </c>
    </row>
    <row r="99" spans="1:15" x14ac:dyDescent="0.25">
      <c r="B99" s="3"/>
      <c r="C99" s="3"/>
      <c r="D99" s="3"/>
      <c r="E99" s="4" t="s">
        <v>94</v>
      </c>
      <c r="F99" s="4"/>
      <c r="G99" s="4"/>
      <c r="H99" s="4"/>
      <c r="I99" s="4"/>
      <c r="J99" s="4"/>
      <c r="K99" s="4"/>
      <c r="L99" s="4"/>
      <c r="M99" s="4"/>
      <c r="N99" s="4"/>
      <c r="O99" s="4"/>
    </row>
    <row r="101" spans="1:15" x14ac:dyDescent="0.25">
      <c r="A101" s="22" t="s">
        <v>95</v>
      </c>
      <c r="B101" s="31">
        <f>B64-B98</f>
        <v>-4541000</v>
      </c>
      <c r="C101" s="31">
        <f t="shared" ref="C101:O101" si="17">C64-C98</f>
        <v>-4873000</v>
      </c>
      <c r="D101" s="31">
        <f t="shared" si="17"/>
        <v>-4360000</v>
      </c>
      <c r="E101" s="31">
        <f t="shared" si="17"/>
        <v>-42134.933420286514</v>
      </c>
      <c r="F101" s="31">
        <f t="shared" si="17"/>
        <v>7230</v>
      </c>
      <c r="G101" s="31">
        <f t="shared" si="17"/>
        <v>158870</v>
      </c>
      <c r="H101" s="31">
        <f t="shared" si="17"/>
        <v>175400</v>
      </c>
      <c r="I101" s="31">
        <f t="shared" si="17"/>
        <v>169430</v>
      </c>
      <c r="J101" s="31">
        <f t="shared" si="17"/>
        <v>198662</v>
      </c>
      <c r="K101" s="31">
        <f t="shared" si="17"/>
        <v>180544</v>
      </c>
      <c r="L101" s="31">
        <f t="shared" si="17"/>
        <v>196526</v>
      </c>
      <c r="M101" s="31">
        <f t="shared" si="17"/>
        <v>194118</v>
      </c>
      <c r="N101" s="31">
        <f t="shared" si="17"/>
        <v>194320</v>
      </c>
      <c r="O101" s="31">
        <f t="shared" si="17"/>
        <v>194972.04950495111</v>
      </c>
    </row>
    <row r="103" spans="1:15" x14ac:dyDescent="0.25">
      <c r="F103" s="36" t="str">
        <f>F33</f>
        <v>2015-16 Est</v>
      </c>
      <c r="G103" s="36" t="str">
        <f t="shared" ref="G103:O103" si="18">G33</f>
        <v>2016-17 Est</v>
      </c>
      <c r="H103" s="36" t="str">
        <f t="shared" si="18"/>
        <v>2017-18 Est</v>
      </c>
      <c r="I103" s="36" t="str">
        <f t="shared" si="18"/>
        <v>2018-19 Est</v>
      </c>
      <c r="J103" s="36" t="str">
        <f t="shared" si="18"/>
        <v>2019-20 Est</v>
      </c>
      <c r="K103" s="36" t="str">
        <f t="shared" si="18"/>
        <v>2020-21 Est</v>
      </c>
      <c r="L103" s="36" t="str">
        <f t="shared" si="18"/>
        <v>2021-22 Est</v>
      </c>
      <c r="M103" s="36" t="str">
        <f t="shared" si="18"/>
        <v>2022-23 Est</v>
      </c>
      <c r="N103" s="36" t="str">
        <f t="shared" si="18"/>
        <v>2023-24 Est</v>
      </c>
      <c r="O103" s="36" t="str">
        <f t="shared" si="18"/>
        <v>2024-25 Est</v>
      </c>
    </row>
    <row r="104" spans="1:15" x14ac:dyDescent="0.25">
      <c r="F104" s="37">
        <f>F3</f>
        <v>1.0018252966422621</v>
      </c>
      <c r="G104" s="37">
        <f t="shared" ref="G104:O104" si="19">G3</f>
        <v>1.0399371543489191</v>
      </c>
      <c r="H104" s="37">
        <f t="shared" si="19"/>
        <v>1.0439929771758214</v>
      </c>
      <c r="I104" s="37">
        <f t="shared" si="19"/>
        <v>1.0423575</v>
      </c>
      <c r="J104" s="37">
        <f t="shared" si="19"/>
        <v>1.0495663672654691</v>
      </c>
      <c r="K104" s="37">
        <f t="shared" si="19"/>
        <v>1.0449673723536737</v>
      </c>
      <c r="L104" s="37">
        <f t="shared" si="19"/>
        <v>1.0488020859200398</v>
      </c>
      <c r="M104" s="37">
        <f t="shared" si="19"/>
        <v>1.04804900990099</v>
      </c>
      <c r="N104" s="37">
        <f t="shared" si="19"/>
        <v>1.0479684028634906</v>
      </c>
      <c r="O104" s="37">
        <f t="shared" si="19"/>
        <v>1.0479986735403537</v>
      </c>
    </row>
  </sheetData>
  <mergeCells count="2">
    <mergeCell ref="B34:D34"/>
    <mergeCell ref="Q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workbookViewId="0">
      <pane ySplit="1" topLeftCell="A2" activePane="bottomLeft" state="frozen"/>
      <selection pane="bottomLeft" activeCell="O74" sqref="O74"/>
    </sheetView>
  </sheetViews>
  <sheetFormatPr defaultRowHeight="15" x14ac:dyDescent="0.25"/>
  <cols>
    <col min="1" max="1" width="39.28515625" bestFit="1" customWidth="1"/>
    <col min="2" max="4" width="10.5703125" bestFit="1" customWidth="1"/>
    <col min="5" max="5" width="10.140625" bestFit="1" customWidth="1"/>
    <col min="6" max="15" width="10.5703125" bestFit="1" customWidth="1"/>
  </cols>
  <sheetData>
    <row r="1" spans="1:28" ht="15.75" thickBot="1" x14ac:dyDescent="0.3">
      <c r="B1" s="12" t="str">
        <f t="shared" ref="B1:O1" si="0">B31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</row>
    <row r="2" spans="1:28" x14ac:dyDescent="0.25">
      <c r="A2" s="7" t="s">
        <v>25</v>
      </c>
      <c r="B2" s="14">
        <v>1</v>
      </c>
      <c r="C2" s="14">
        <v>1</v>
      </c>
      <c r="D2" s="14">
        <v>1</v>
      </c>
      <c r="E2" s="14">
        <v>1</v>
      </c>
      <c r="F2" s="14">
        <v>1</v>
      </c>
      <c r="G2" s="14">
        <v>1</v>
      </c>
      <c r="H2" s="14">
        <v>1</v>
      </c>
      <c r="I2" s="14">
        <v>1</v>
      </c>
      <c r="J2" s="14">
        <v>1</v>
      </c>
      <c r="K2" s="14">
        <v>1</v>
      </c>
      <c r="L2" s="14">
        <v>1</v>
      </c>
      <c r="M2" s="14">
        <v>1</v>
      </c>
      <c r="N2" s="14">
        <v>1</v>
      </c>
      <c r="O2" s="15">
        <v>1</v>
      </c>
      <c r="Q2" s="46" t="str">
        <f>D1</f>
        <v>2013-14</v>
      </c>
      <c r="R2" s="46" t="str">
        <f t="shared" ref="R2:T2" si="1">E1</f>
        <v>2014-15</v>
      </c>
      <c r="S2" s="46" t="str">
        <f t="shared" si="1"/>
        <v>2015-16</v>
      </c>
      <c r="T2" s="46" t="str">
        <f t="shared" si="1"/>
        <v>2016-17</v>
      </c>
      <c r="U2" s="46" t="str">
        <f t="shared" ref="U2" si="2">H1</f>
        <v>2017-18</v>
      </c>
      <c r="V2" s="46" t="str">
        <f t="shared" ref="V2" si="3">I1</f>
        <v>2018-19</v>
      </c>
      <c r="W2" s="46" t="str">
        <f t="shared" ref="W2" si="4">J1</f>
        <v>2019-20</v>
      </c>
      <c r="X2" s="46" t="str">
        <f t="shared" ref="X2" si="5">K1</f>
        <v>2020-21</v>
      </c>
      <c r="Y2" s="46" t="str">
        <f t="shared" ref="Y2" si="6">L1</f>
        <v>2021-22</v>
      </c>
      <c r="Z2" s="46" t="str">
        <f t="shared" ref="Z2" si="7">M1</f>
        <v>2022-23</v>
      </c>
      <c r="AA2" s="46" t="str">
        <f t="shared" ref="AA2" si="8">N1</f>
        <v>2023-24</v>
      </c>
      <c r="AB2" s="46" t="str">
        <f t="shared" ref="AB2" si="9">O1</f>
        <v>2024-25</v>
      </c>
    </row>
    <row r="3" spans="1:28" ht="15.75" thickBot="1" x14ac:dyDescent="0.3">
      <c r="A3" s="10" t="s">
        <v>31</v>
      </c>
      <c r="B3" s="13">
        <f t="shared" ref="B3:O3" si="10">B70/B56</f>
        <v>0.43595569440499859</v>
      </c>
      <c r="C3" s="13">
        <f t="shared" si="10"/>
        <v>1.2933408260747401</v>
      </c>
      <c r="D3" s="13">
        <f t="shared" si="10"/>
        <v>0.56950104138368196</v>
      </c>
      <c r="E3" s="13">
        <f t="shared" si="10"/>
        <v>0.80524829470933679</v>
      </c>
      <c r="F3" s="13">
        <f t="shared" si="10"/>
        <v>1.2544430689343102</v>
      </c>
      <c r="G3" s="13">
        <f t="shared" si="10"/>
        <v>1.1308355287787637</v>
      </c>
      <c r="H3" s="13">
        <f t="shared" si="10"/>
        <v>1.1174939416584491</v>
      </c>
      <c r="I3" s="13">
        <f t="shared" si="10"/>
        <v>1.0658423496699214</v>
      </c>
      <c r="J3" s="13">
        <f t="shared" si="10"/>
        <v>1.0922730482021592</v>
      </c>
      <c r="K3" s="13">
        <f t="shared" si="10"/>
        <v>1.0822558687410828</v>
      </c>
      <c r="L3" s="13">
        <f t="shared" si="10"/>
        <v>1.0703091061344077</v>
      </c>
      <c r="M3" s="13">
        <f t="shared" si="10"/>
        <v>1.0435369468695141</v>
      </c>
      <c r="N3" s="13">
        <f t="shared" si="10"/>
        <v>1.0285386101728788</v>
      </c>
      <c r="O3" s="16">
        <f t="shared" si="10"/>
        <v>1.0054498507160408</v>
      </c>
      <c r="Q3" s="42">
        <f>AVERAGE(B3:D3)</f>
        <v>0.76626585395447355</v>
      </c>
      <c r="R3" s="42">
        <f t="shared" ref="R3:S3" si="11">AVERAGE(C3:E3)</f>
        <v>0.88936338738925291</v>
      </c>
      <c r="S3" s="42">
        <f t="shared" si="11"/>
        <v>0.87639746834244292</v>
      </c>
      <c r="T3" s="42">
        <f>AVERAGE(E3:G3)</f>
        <v>1.0635089641408035</v>
      </c>
      <c r="U3" s="42">
        <f t="shared" ref="U3:AB3" si="12">AVERAGE(F3:H3)</f>
        <v>1.1675908464571745</v>
      </c>
      <c r="V3" s="42">
        <f t="shared" si="12"/>
        <v>1.1047239400357114</v>
      </c>
      <c r="W3" s="42">
        <f t="shared" si="12"/>
        <v>1.09186977984351</v>
      </c>
      <c r="X3" s="42">
        <f t="shared" si="12"/>
        <v>1.080123755537721</v>
      </c>
      <c r="Y3" s="42">
        <f t="shared" si="12"/>
        <v>1.0816126743592165</v>
      </c>
      <c r="Z3" s="42">
        <f t="shared" si="12"/>
        <v>1.0653673072483347</v>
      </c>
      <c r="AA3" s="42">
        <f t="shared" si="12"/>
        <v>1.0474615543922667</v>
      </c>
      <c r="AB3" s="42">
        <f t="shared" si="12"/>
        <v>1.0258418025861447</v>
      </c>
    </row>
    <row r="5" spans="1:28" x14ac:dyDescent="0.25">
      <c r="C5" s="6"/>
    </row>
    <row r="30" spans="1:15" x14ac:dyDescent="0.25">
      <c r="B30" s="1" t="s">
        <v>3</v>
      </c>
      <c r="C30" s="1" t="s">
        <v>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3</v>
      </c>
    </row>
    <row r="31" spans="1:15" x14ac:dyDescent="0.25">
      <c r="B31" s="2" t="s">
        <v>18</v>
      </c>
      <c r="C31" s="2" t="s">
        <v>17</v>
      </c>
      <c r="D31" s="2" t="s">
        <v>16</v>
      </c>
      <c r="E31" s="2" t="s">
        <v>19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</row>
    <row r="32" spans="1:15" x14ac:dyDescent="0.25">
      <c r="A32" s="18" t="s">
        <v>28</v>
      </c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t="str">
        <f>'[1]Op Budget Detail'!$E$258</f>
        <v>Other Business Undertakings NON WORK ORDER</v>
      </c>
      <c r="B33" s="3"/>
      <c r="C33" s="3"/>
      <c r="E33" s="44">
        <v>22100</v>
      </c>
      <c r="F33" s="3">
        <v>22480</v>
      </c>
      <c r="G33" s="3">
        <v>22860</v>
      </c>
      <c r="H33" s="3">
        <v>23250</v>
      </c>
      <c r="I33" s="3">
        <v>23650</v>
      </c>
      <c r="J33" s="3">
        <v>24050</v>
      </c>
      <c r="K33" s="3">
        <v>24460</v>
      </c>
      <c r="L33" s="3">
        <v>24880</v>
      </c>
      <c r="M33" s="3">
        <v>25310</v>
      </c>
      <c r="N33" s="3">
        <v>25740</v>
      </c>
      <c r="O33" s="3">
        <v>26180</v>
      </c>
    </row>
    <row r="34" spans="1:15" x14ac:dyDescent="0.25">
      <c r="A34" t="str">
        <f>'[1]Op Budget Detail'!$E$389</f>
        <v>Tourism Operations - NON WORK ORDER</v>
      </c>
      <c r="B34" s="3"/>
      <c r="C34" s="3"/>
      <c r="E34" s="44">
        <v>10390</v>
      </c>
      <c r="F34" s="3">
        <v>10570</v>
      </c>
      <c r="G34" s="3">
        <v>10750</v>
      </c>
      <c r="H34" s="3">
        <v>10930</v>
      </c>
      <c r="I34" s="3">
        <v>11120</v>
      </c>
      <c r="J34" s="3">
        <v>11310</v>
      </c>
      <c r="K34" s="3">
        <v>11500</v>
      </c>
      <c r="L34" s="3">
        <v>11700</v>
      </c>
      <c r="M34" s="3">
        <v>11900</v>
      </c>
      <c r="N34" s="3">
        <v>12100</v>
      </c>
      <c r="O34" s="3">
        <v>12310</v>
      </c>
    </row>
    <row r="35" spans="1:15" x14ac:dyDescent="0.25">
      <c r="A35" t="str">
        <f>'[1]Op Budget Detail'!$E$513</f>
        <v>Corporate Services NON WORK ORDER</v>
      </c>
      <c r="B35" s="3"/>
      <c r="C35" s="3"/>
      <c r="D35" s="3"/>
      <c r="E35" s="44">
        <v>147500</v>
      </c>
      <c r="F35" s="3">
        <v>150020</v>
      </c>
      <c r="G35" s="3">
        <v>152590</v>
      </c>
      <c r="H35" s="3">
        <v>155200</v>
      </c>
      <c r="I35" s="3">
        <v>157850</v>
      </c>
      <c r="J35" s="3">
        <v>160550</v>
      </c>
      <c r="K35" s="3">
        <v>163300</v>
      </c>
      <c r="L35" s="3">
        <v>166090</v>
      </c>
      <c r="M35" s="3">
        <v>168930</v>
      </c>
      <c r="N35" s="3">
        <v>171820</v>
      </c>
      <c r="O35" s="3">
        <v>174760</v>
      </c>
    </row>
    <row r="36" spans="1:15" x14ac:dyDescent="0.25">
      <c r="A36" t="str">
        <f>'[1]Op Budget Detail'!$E$715</f>
        <v>03810 - Aged &amp; Disabled Expenses</v>
      </c>
      <c r="B36" s="3"/>
      <c r="C36" s="3"/>
      <c r="D36" s="3"/>
      <c r="E36" s="44">
        <v>227000</v>
      </c>
      <c r="F36" s="3">
        <v>237090</v>
      </c>
      <c r="G36" s="3">
        <v>241140</v>
      </c>
      <c r="H36" s="3">
        <v>245260</v>
      </c>
      <c r="I36" s="3">
        <v>249450</v>
      </c>
      <c r="J36" s="3">
        <v>253720</v>
      </c>
      <c r="K36" s="3">
        <v>258060</v>
      </c>
      <c r="L36" s="3">
        <v>262470</v>
      </c>
      <c r="M36" s="3">
        <v>266960</v>
      </c>
      <c r="N36" s="3">
        <v>271530</v>
      </c>
      <c r="O36" s="3">
        <v>276170</v>
      </c>
    </row>
    <row r="37" spans="1:15" x14ac:dyDescent="0.25">
      <c r="A37" t="str">
        <f>'[1]Op Budget Detail'!$E$733</f>
        <v>03930 - Historic Buildings Preservation</v>
      </c>
      <c r="B37" s="3"/>
      <c r="C37" s="3"/>
      <c r="D37" s="3"/>
      <c r="E37" s="44">
        <v>17800</v>
      </c>
      <c r="F37" s="3">
        <v>18100</v>
      </c>
      <c r="G37" s="3">
        <v>18410</v>
      </c>
      <c r="H37" s="3">
        <v>18720</v>
      </c>
      <c r="I37" s="3">
        <v>19040</v>
      </c>
      <c r="J37" s="3">
        <v>19370</v>
      </c>
      <c r="K37" s="3">
        <v>19700</v>
      </c>
      <c r="L37" s="3">
        <v>20040</v>
      </c>
      <c r="M37" s="3">
        <v>20380</v>
      </c>
      <c r="N37" s="3">
        <v>20730</v>
      </c>
      <c r="O37" s="3">
        <v>21080</v>
      </c>
    </row>
    <row r="38" spans="1:15" x14ac:dyDescent="0.25">
      <c r="A38" t="str">
        <f>'[1]Op Budget Detail'!$E$1116</f>
        <v>Library Expenses - NON WORK ORDER</v>
      </c>
      <c r="B38" s="3"/>
      <c r="C38" s="3"/>
      <c r="D38" s="3"/>
      <c r="E38" s="44">
        <v>35890</v>
      </c>
      <c r="F38" s="3">
        <v>32040</v>
      </c>
      <c r="G38" s="3">
        <v>32590</v>
      </c>
      <c r="H38" s="3">
        <v>33150</v>
      </c>
      <c r="I38" s="3">
        <v>33720</v>
      </c>
      <c r="J38" s="3">
        <v>34300</v>
      </c>
      <c r="K38" s="3">
        <v>34890</v>
      </c>
      <c r="L38" s="3">
        <v>35490</v>
      </c>
      <c r="M38" s="3">
        <v>36100</v>
      </c>
      <c r="N38" s="3">
        <v>36720</v>
      </c>
      <c r="O38" s="3">
        <v>37350</v>
      </c>
    </row>
    <row r="39" spans="1:15" x14ac:dyDescent="0.25">
      <c r="A39" t="str">
        <f>'[1]Op Budget Detail'!$E$1263</f>
        <v>W1752 - Heavy Vehicle Inspection Station</v>
      </c>
      <c r="B39" s="3"/>
      <c r="C39" s="3"/>
      <c r="D39" s="3"/>
      <c r="E39" s="44">
        <v>10500</v>
      </c>
      <c r="F39" s="3">
        <v>10680</v>
      </c>
      <c r="G39" s="3">
        <v>10860</v>
      </c>
      <c r="H39" s="3">
        <v>11050</v>
      </c>
      <c r="I39" s="3">
        <v>11240</v>
      </c>
      <c r="J39" s="3">
        <v>11430</v>
      </c>
      <c r="K39" s="3">
        <v>11630</v>
      </c>
      <c r="L39" s="3">
        <v>11830</v>
      </c>
      <c r="M39" s="3">
        <v>12030</v>
      </c>
      <c r="N39" s="3">
        <v>12240</v>
      </c>
      <c r="O39" s="3">
        <v>12450</v>
      </c>
    </row>
    <row r="40" spans="1:15" x14ac:dyDescent="0.25">
      <c r="A40" t="str">
        <f>'[1]Op Budget Detail'!$E$1279</f>
        <v>03490 - Buildings - Dwellings Expenses</v>
      </c>
      <c r="B40" s="3"/>
      <c r="C40" s="3"/>
      <c r="D40" s="3"/>
      <c r="E40" s="44">
        <v>77950</v>
      </c>
      <c r="F40" s="3">
        <v>79280</v>
      </c>
      <c r="G40" s="3">
        <v>80640</v>
      </c>
      <c r="H40" s="3">
        <v>82020</v>
      </c>
      <c r="I40" s="3">
        <v>83420</v>
      </c>
      <c r="J40" s="3">
        <v>84850</v>
      </c>
      <c r="K40" s="3">
        <v>86300</v>
      </c>
      <c r="L40" s="3">
        <v>87780</v>
      </c>
      <c r="M40" s="3">
        <v>89280</v>
      </c>
      <c r="N40" s="3">
        <v>90810</v>
      </c>
      <c r="O40" s="3">
        <v>92360</v>
      </c>
    </row>
    <row r="41" spans="1:15" x14ac:dyDescent="0.25">
      <c r="A41" t="str">
        <f>'[1]Op Budget Detail'!$E$2004</f>
        <v>Medical Centres NON WORK ORDER</v>
      </c>
      <c r="B41" s="3"/>
      <c r="C41" s="3"/>
      <c r="D41" s="3"/>
      <c r="E41" s="44">
        <v>81550</v>
      </c>
      <c r="F41" s="3">
        <v>82940</v>
      </c>
      <c r="G41" s="3">
        <v>84360</v>
      </c>
      <c r="H41" s="3">
        <v>85800</v>
      </c>
      <c r="I41" s="3">
        <v>87270</v>
      </c>
      <c r="J41" s="3">
        <v>88760</v>
      </c>
      <c r="K41" s="3">
        <v>90280</v>
      </c>
      <c r="L41" s="3">
        <v>91820</v>
      </c>
      <c r="M41" s="3">
        <v>93390</v>
      </c>
      <c r="N41" s="3">
        <v>94990</v>
      </c>
      <c r="O41" s="3">
        <v>96610</v>
      </c>
    </row>
    <row r="42" spans="1:15" x14ac:dyDescent="0.25">
      <c r="A42" t="str">
        <f>'[1]Op Budget Detail'!$E$2098</f>
        <v>Willow Bend Sports Centre NON WORK ORDER</v>
      </c>
      <c r="B42" s="3"/>
      <c r="C42" s="3"/>
      <c r="D42" s="3"/>
      <c r="E42" s="44">
        <v>16250</v>
      </c>
      <c r="F42" s="3">
        <v>16530</v>
      </c>
      <c r="G42" s="3">
        <v>16810</v>
      </c>
      <c r="H42" s="3">
        <v>17100</v>
      </c>
      <c r="I42" s="3">
        <v>17390</v>
      </c>
      <c r="J42" s="3">
        <v>17690</v>
      </c>
      <c r="K42" s="3">
        <v>17990</v>
      </c>
      <c r="L42" s="3">
        <v>18300</v>
      </c>
      <c r="M42" s="3">
        <v>18610</v>
      </c>
      <c r="N42" s="3">
        <v>18930</v>
      </c>
      <c r="O42" s="3">
        <v>19250</v>
      </c>
    </row>
    <row r="43" spans="1:15" x14ac:dyDescent="0.25">
      <c r="A43" t="str">
        <f>'[1]Op Budget Detail'!$E$2365</f>
        <v>Halls &amp; Community Centres NON WORK ORDER</v>
      </c>
      <c r="B43" s="3"/>
      <c r="C43" s="3"/>
      <c r="D43" s="3"/>
      <c r="E43" s="44">
        <v>162400</v>
      </c>
      <c r="F43" s="3">
        <v>165180</v>
      </c>
      <c r="G43" s="3">
        <v>168000</v>
      </c>
      <c r="H43" s="3">
        <v>170870</v>
      </c>
      <c r="I43" s="3">
        <v>173790</v>
      </c>
      <c r="J43" s="3">
        <v>176760</v>
      </c>
      <c r="K43" s="3">
        <v>179780</v>
      </c>
      <c r="L43" s="3">
        <v>182850</v>
      </c>
      <c r="M43" s="3">
        <v>185980</v>
      </c>
      <c r="N43" s="3">
        <v>189160</v>
      </c>
      <c r="O43" s="3">
        <v>192390</v>
      </c>
    </row>
    <row r="44" spans="1:15" x14ac:dyDescent="0.25">
      <c r="A44" t="str">
        <f>'[1]Op Budget Detail'!$E$2466</f>
        <v>Animal Control NON WORK ORDER</v>
      </c>
      <c r="B44" s="3"/>
      <c r="C44" s="3"/>
      <c r="D44" s="3"/>
      <c r="E44" s="44">
        <v>6460</v>
      </c>
      <c r="F44" s="3">
        <v>6570</v>
      </c>
      <c r="G44" s="3">
        <v>6680</v>
      </c>
      <c r="H44" s="3">
        <v>6790</v>
      </c>
      <c r="I44" s="3">
        <v>6910</v>
      </c>
      <c r="J44" s="3">
        <v>7030</v>
      </c>
      <c r="K44" s="3">
        <v>7150</v>
      </c>
      <c r="L44" s="3">
        <v>7270</v>
      </c>
      <c r="M44" s="3">
        <v>7390</v>
      </c>
      <c r="N44" s="3">
        <v>7520</v>
      </c>
      <c r="O44" s="3">
        <v>7650</v>
      </c>
    </row>
    <row r="45" spans="1:15" x14ac:dyDescent="0.25">
      <c r="A45" t="str">
        <f>'[1]Op Budget Detail'!$E$3094</f>
        <v>Works Depots NON WORK ORDER</v>
      </c>
      <c r="B45" s="3"/>
      <c r="C45" s="3"/>
      <c r="D45" s="3"/>
      <c r="E45" s="44">
        <v>73020</v>
      </c>
      <c r="F45" s="3">
        <v>74270</v>
      </c>
      <c r="G45" s="3">
        <v>75540</v>
      </c>
      <c r="H45" s="3">
        <v>76830</v>
      </c>
      <c r="I45" s="3">
        <v>78140</v>
      </c>
      <c r="J45" s="3">
        <v>79480</v>
      </c>
      <c r="K45" s="3">
        <v>80840</v>
      </c>
      <c r="L45" s="3">
        <v>82220</v>
      </c>
      <c r="M45" s="3">
        <v>83630</v>
      </c>
      <c r="N45" s="3">
        <v>85060</v>
      </c>
      <c r="O45" s="3">
        <v>86510</v>
      </c>
    </row>
    <row r="46" spans="1:15" x14ac:dyDescent="0.25">
      <c r="A46" t="str">
        <f>'[1]Op Budget Detail'!$E$3305</f>
        <v>03280 - Bridges Maintenance - Local Roads</v>
      </c>
      <c r="B46" s="3"/>
      <c r="C46" s="3"/>
      <c r="D46" s="3"/>
      <c r="E46" s="44">
        <v>426090</v>
      </c>
      <c r="F46" s="3">
        <v>16270</v>
      </c>
      <c r="G46" s="3">
        <v>16550</v>
      </c>
      <c r="H46" s="3">
        <v>16830</v>
      </c>
      <c r="I46" s="3">
        <v>17120</v>
      </c>
      <c r="J46" s="3">
        <v>17410</v>
      </c>
      <c r="K46" s="3">
        <v>17710</v>
      </c>
      <c r="L46" s="3">
        <v>18010</v>
      </c>
      <c r="M46" s="3">
        <v>18320</v>
      </c>
      <c r="N46" s="3">
        <v>18630</v>
      </c>
      <c r="O46" s="3">
        <v>18950</v>
      </c>
    </row>
    <row r="47" spans="1:15" x14ac:dyDescent="0.25">
      <c r="A47" t="str">
        <f>'[1]Op Budget Detail'!$E$3326</f>
        <v>03300 - Footpaths &amp; Bike Track Maintenance</v>
      </c>
      <c r="B47" s="3"/>
      <c r="C47" s="3"/>
      <c r="D47" s="3"/>
      <c r="E47" s="44">
        <v>226760</v>
      </c>
      <c r="F47" s="3">
        <v>50860</v>
      </c>
      <c r="G47" s="3">
        <v>51730</v>
      </c>
      <c r="H47" s="3">
        <v>52610</v>
      </c>
      <c r="I47" s="3">
        <v>53510</v>
      </c>
      <c r="J47" s="3">
        <v>54430</v>
      </c>
      <c r="K47" s="3">
        <v>55360</v>
      </c>
      <c r="L47" s="3">
        <v>56310</v>
      </c>
      <c r="M47" s="3">
        <v>57270</v>
      </c>
      <c r="N47" s="3">
        <v>58250</v>
      </c>
      <c r="O47" s="3">
        <v>59250</v>
      </c>
    </row>
    <row r="48" spans="1:15" x14ac:dyDescent="0.25">
      <c r="A48" t="str">
        <f>'[1]Op Budget Detail'!$E$3404</f>
        <v>03350 - Sealed Rural Roads Maintenance</v>
      </c>
      <c r="B48" s="3"/>
      <c r="C48" s="3"/>
      <c r="D48" s="3"/>
      <c r="E48" s="44">
        <v>2171616</v>
      </c>
      <c r="F48" s="3">
        <v>439550</v>
      </c>
      <c r="G48" s="3">
        <v>447070</v>
      </c>
      <c r="H48" s="3">
        <v>454710</v>
      </c>
      <c r="I48" s="3">
        <v>462490</v>
      </c>
      <c r="J48" s="3">
        <v>470400</v>
      </c>
      <c r="K48" s="3">
        <v>478440</v>
      </c>
      <c r="L48" s="3">
        <v>486620</v>
      </c>
      <c r="M48" s="3">
        <v>494940</v>
      </c>
      <c r="N48" s="3">
        <v>503400</v>
      </c>
      <c r="O48" s="3">
        <v>512010</v>
      </c>
    </row>
    <row r="49" spans="1:15" x14ac:dyDescent="0.25">
      <c r="A49" t="str">
        <f>'[1]Op Budget Detail'!$E$3417</f>
        <v>03360 - Unsealed Rural Roads Maintenance</v>
      </c>
      <c r="B49" s="3"/>
      <c r="C49" s="3"/>
      <c r="D49" s="3"/>
      <c r="E49" s="44">
        <v>2578805</v>
      </c>
      <c r="F49" s="3">
        <v>3955330</v>
      </c>
      <c r="G49" s="3">
        <v>4022970</v>
      </c>
      <c r="H49" s="3">
        <v>4091760</v>
      </c>
      <c r="I49" s="3">
        <v>4161730</v>
      </c>
      <c r="J49" s="3">
        <v>4232900</v>
      </c>
      <c r="K49" s="3">
        <v>4305280</v>
      </c>
      <c r="L49" s="3">
        <v>4378900</v>
      </c>
      <c r="M49" s="3">
        <v>4453780</v>
      </c>
      <c r="N49" s="3">
        <v>4529940</v>
      </c>
      <c r="O49" s="3">
        <v>4607400</v>
      </c>
    </row>
    <row r="50" spans="1:15" x14ac:dyDescent="0.25">
      <c r="A50" t="str">
        <f>'[1]Op Budget Detail'!$E$3500</f>
        <v>Stormwater Drainage NON WORK ORDER</v>
      </c>
      <c r="B50" s="3"/>
      <c r="C50" s="3"/>
      <c r="D50" s="3"/>
      <c r="E50" s="44">
        <v>35600</v>
      </c>
      <c r="F50" s="3">
        <v>86450</v>
      </c>
      <c r="G50" s="3">
        <v>87930</v>
      </c>
      <c r="H50" s="3">
        <v>89430</v>
      </c>
      <c r="I50" s="3">
        <v>90960</v>
      </c>
      <c r="J50" s="3">
        <v>92520</v>
      </c>
      <c r="K50" s="3">
        <v>94100</v>
      </c>
      <c r="L50" s="3">
        <v>95710</v>
      </c>
      <c r="M50" s="3">
        <v>97350</v>
      </c>
      <c r="N50" s="3">
        <v>99010</v>
      </c>
      <c r="O50" s="3">
        <v>100700</v>
      </c>
    </row>
    <row r="51" spans="1:15" hidden="1" x14ac:dyDescent="0.25">
      <c r="A51" s="17" t="s">
        <v>29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t="str">
        <f>'[1]Op Budget Detail'!$E$3638</f>
        <v>04080 - State Emergency Service Expenses</v>
      </c>
      <c r="B52" s="3"/>
      <c r="C52" s="3"/>
      <c r="D52" s="3"/>
      <c r="E52" s="44">
        <v>26000</v>
      </c>
      <c r="F52" s="3">
        <v>26440</v>
      </c>
      <c r="G52" s="3">
        <v>26890</v>
      </c>
      <c r="H52" s="3">
        <v>27350</v>
      </c>
      <c r="I52" s="3">
        <v>27820</v>
      </c>
      <c r="J52" s="3">
        <v>28300</v>
      </c>
      <c r="K52" s="3">
        <v>28780</v>
      </c>
      <c r="L52" s="3">
        <v>29270</v>
      </c>
      <c r="M52" s="3">
        <v>29770</v>
      </c>
      <c r="N52" s="3">
        <v>30280</v>
      </c>
      <c r="O52" s="3">
        <v>30800</v>
      </c>
    </row>
    <row r="53" spans="1:15" x14ac:dyDescent="0.25">
      <c r="A53" s="29" t="str">
        <f>'[1]Op Budget Detail'!$E$3906</f>
        <v>Swimming Pools NON WORK ORDER</v>
      </c>
      <c r="B53" s="3"/>
      <c r="C53" s="3"/>
      <c r="D53" s="3"/>
      <c r="E53" s="44">
        <v>125650</v>
      </c>
      <c r="F53" s="3">
        <v>127800</v>
      </c>
      <c r="G53" s="3">
        <v>129990</v>
      </c>
      <c r="H53" s="3">
        <v>132210</v>
      </c>
      <c r="I53" s="3">
        <v>134470</v>
      </c>
      <c r="J53" s="3">
        <v>136770</v>
      </c>
      <c r="K53" s="3">
        <v>139110</v>
      </c>
      <c r="L53" s="3">
        <v>141490</v>
      </c>
      <c r="M53" s="3">
        <v>143910</v>
      </c>
      <c r="N53" s="3">
        <v>146370</v>
      </c>
      <c r="O53" s="3">
        <v>148870</v>
      </c>
    </row>
    <row r="54" spans="1:15" x14ac:dyDescent="0.25">
      <c r="A54" t="str">
        <f>'[1]Op Budget Detail'!$E$4481</f>
        <v>Public Toilets NON WORK ORDER</v>
      </c>
      <c r="B54" s="3"/>
      <c r="C54" s="3"/>
      <c r="D54" s="3"/>
      <c r="E54" s="44">
        <v>37300</v>
      </c>
      <c r="F54" s="3">
        <v>37940</v>
      </c>
      <c r="G54" s="3">
        <v>38590</v>
      </c>
      <c r="H54" s="3">
        <v>39250</v>
      </c>
      <c r="I54" s="3">
        <v>39920</v>
      </c>
      <c r="J54" s="3">
        <v>40600</v>
      </c>
      <c r="K54" s="3">
        <v>41290</v>
      </c>
      <c r="L54" s="3">
        <v>42000</v>
      </c>
      <c r="M54" s="3">
        <v>42720</v>
      </c>
      <c r="N54" s="3">
        <v>43450</v>
      </c>
      <c r="O54" s="3">
        <v>44190</v>
      </c>
    </row>
    <row r="55" spans="1:15" ht="3" customHeight="1" x14ac:dyDescent="0.25"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B56" s="5">
        <v>3521000</v>
      </c>
      <c r="C56" s="5">
        <v>3559000</v>
      </c>
      <c r="D56" s="5">
        <v>11043000</v>
      </c>
      <c r="E56" s="5">
        <f t="shared" ref="E56:O56" si="13">SUM(E32:E55)</f>
        <v>6516631</v>
      </c>
      <c r="F56" s="5">
        <f t="shared" si="13"/>
        <v>5646390</v>
      </c>
      <c r="G56" s="5">
        <f t="shared" si="13"/>
        <v>5742950</v>
      </c>
      <c r="H56" s="5">
        <f t="shared" si="13"/>
        <v>5841120</v>
      </c>
      <c r="I56" s="5">
        <f t="shared" si="13"/>
        <v>5941010</v>
      </c>
      <c r="J56" s="5">
        <f t="shared" si="13"/>
        <v>6042630</v>
      </c>
      <c r="K56" s="5">
        <f t="shared" si="13"/>
        <v>6145950</v>
      </c>
      <c r="L56" s="5">
        <f t="shared" si="13"/>
        <v>6251050</v>
      </c>
      <c r="M56" s="5">
        <f t="shared" si="13"/>
        <v>6357950</v>
      </c>
      <c r="N56" s="5">
        <f t="shared" si="13"/>
        <v>6466680</v>
      </c>
      <c r="O56" s="5">
        <f t="shared" si="13"/>
        <v>6577240</v>
      </c>
    </row>
    <row r="57" spans="1:15" x14ac:dyDescent="0.25"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18" t="s">
        <v>30</v>
      </c>
      <c r="B58" s="3">
        <v>1535000</v>
      </c>
      <c r="C58" s="3">
        <v>4603000</v>
      </c>
      <c r="D58" s="3">
        <v>6289000</v>
      </c>
      <c r="E58" s="3">
        <v>5247506</v>
      </c>
      <c r="F58" s="3">
        <v>7083074.7999999998</v>
      </c>
      <c r="G58" s="3">
        <v>6494331.9000000004</v>
      </c>
      <c r="H58" s="3">
        <v>6527416.2125000004</v>
      </c>
      <c r="I58" s="3">
        <v>6332180.0578124998</v>
      </c>
      <c r="J58" s="3">
        <v>6600201.8892578129</v>
      </c>
      <c r="K58" s="3">
        <v>6651490.4564892584</v>
      </c>
      <c r="L58" s="3">
        <v>6690555.7379014893</v>
      </c>
      <c r="M58" s="3">
        <v>6634755.7313490268</v>
      </c>
      <c r="N58" s="3">
        <v>6651230.0596327521</v>
      </c>
      <c r="O58" s="3">
        <v>6613084.9761235714</v>
      </c>
    </row>
    <row r="59" spans="1:15" x14ac:dyDescent="0.25">
      <c r="B59" s="3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idden="1" x14ac:dyDescent="0.25">
      <c r="B60" s="3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idden="1" x14ac:dyDescent="0.25"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idden="1" x14ac:dyDescent="0.25"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idden="1" x14ac:dyDescent="0.25"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idden="1" x14ac:dyDescent="0.25"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idden="1" x14ac:dyDescent="0.25"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idden="1" x14ac:dyDescent="0.25"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idden="1" x14ac:dyDescent="0.25"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3" customHeight="1" x14ac:dyDescent="0.25"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B70" s="5">
        <f t="shared" ref="B70:O70" si="14">SUM(B57:B69)</f>
        <v>1535000</v>
      </c>
      <c r="C70" s="5">
        <f t="shared" si="14"/>
        <v>4603000</v>
      </c>
      <c r="D70" s="5">
        <f t="shared" si="14"/>
        <v>6289000</v>
      </c>
      <c r="E70" s="5">
        <f t="shared" si="14"/>
        <v>5247506</v>
      </c>
      <c r="F70" s="5">
        <f t="shared" si="14"/>
        <v>7083074.7999999998</v>
      </c>
      <c r="G70" s="5">
        <f t="shared" si="14"/>
        <v>6494331.9000000004</v>
      </c>
      <c r="H70" s="5">
        <f t="shared" si="14"/>
        <v>6527416.2125000004</v>
      </c>
      <c r="I70" s="5">
        <f t="shared" si="14"/>
        <v>6332180.0578124998</v>
      </c>
      <c r="J70" s="5">
        <f t="shared" si="14"/>
        <v>6600201.8892578129</v>
      </c>
      <c r="K70" s="5">
        <f t="shared" si="14"/>
        <v>6651490.4564892584</v>
      </c>
      <c r="L70" s="5">
        <f t="shared" si="14"/>
        <v>6690555.7379014893</v>
      </c>
      <c r="M70" s="5">
        <f t="shared" si="14"/>
        <v>6634755.7313490268</v>
      </c>
      <c r="N70" s="5">
        <f t="shared" si="14"/>
        <v>6651230.0596327521</v>
      </c>
      <c r="O70" s="5">
        <f t="shared" si="14"/>
        <v>6613084.9761235714</v>
      </c>
    </row>
    <row r="71" spans="1:15" x14ac:dyDescent="0.25">
      <c r="B71" s="3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22" t="s">
        <v>92</v>
      </c>
      <c r="B72" s="31">
        <f t="shared" ref="B72:E72" si="15">-B70+B56</f>
        <v>1986000</v>
      </c>
      <c r="C72" s="31">
        <f t="shared" si="15"/>
        <v>-1044000</v>
      </c>
      <c r="D72" s="31">
        <f t="shared" si="15"/>
        <v>4754000</v>
      </c>
      <c r="E72" s="31">
        <f t="shared" si="15"/>
        <v>1269125</v>
      </c>
      <c r="F72" s="31">
        <f t="shared" ref="F72:O72" si="16">-F70+F56</f>
        <v>-1436684.7999999998</v>
      </c>
      <c r="G72" s="31">
        <f t="shared" si="16"/>
        <v>-751381.90000000037</v>
      </c>
      <c r="H72" s="31">
        <f t="shared" si="16"/>
        <v>-686296.21250000037</v>
      </c>
      <c r="I72" s="31">
        <f t="shared" si="16"/>
        <v>-391170.05781249981</v>
      </c>
      <c r="J72" s="31">
        <f t="shared" si="16"/>
        <v>-557571.88925781287</v>
      </c>
      <c r="K72" s="31">
        <f t="shared" si="16"/>
        <v>-505540.45648925845</v>
      </c>
      <c r="L72" s="31">
        <f t="shared" si="16"/>
        <v>-439505.73790148925</v>
      </c>
      <c r="M72" s="31">
        <f t="shared" si="16"/>
        <v>-276805.73134902678</v>
      </c>
      <c r="N72" s="31">
        <f t="shared" si="16"/>
        <v>-184550.05963275209</v>
      </c>
      <c r="O72" s="31">
        <f t="shared" si="16"/>
        <v>-35844.976123571396</v>
      </c>
    </row>
    <row r="73" spans="1:15" x14ac:dyDescent="0.25">
      <c r="B73" s="3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22" t="s">
        <v>86</v>
      </c>
      <c r="F74" s="30">
        <v>6924566.7999999998</v>
      </c>
      <c r="G74" s="30">
        <v>4009285.9</v>
      </c>
      <c r="H74" s="30">
        <v>4660269.2125000004</v>
      </c>
      <c r="I74" s="30">
        <v>4509564.0578124998</v>
      </c>
      <c r="J74" s="30">
        <v>4783545.4892578125</v>
      </c>
      <c r="K74" s="30">
        <v>4684017.6464892579</v>
      </c>
      <c r="L74" s="30">
        <v>4889586.1076514889</v>
      </c>
      <c r="M74" s="30">
        <v>5106104.3603427764</v>
      </c>
      <c r="N74" s="30">
        <v>5979607.4043513462</v>
      </c>
      <c r="O74" s="30">
        <v>6018496.7544601299</v>
      </c>
    </row>
  </sheetData>
  <mergeCells count="1">
    <mergeCell ref="Q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tabSelected="1" workbookViewId="0">
      <pane ySplit="1" topLeftCell="A2" activePane="bottomLeft" state="frozen"/>
      <selection pane="bottomLeft" activeCell="G35" sqref="G35"/>
    </sheetView>
  </sheetViews>
  <sheetFormatPr defaultRowHeight="15" x14ac:dyDescent="0.25"/>
  <cols>
    <col min="1" max="1" width="39.28515625" bestFit="1" customWidth="1"/>
    <col min="2" max="2" width="8" customWidth="1"/>
    <col min="3" max="4" width="7.85546875" customWidth="1"/>
    <col min="5" max="5" width="7.7109375" customWidth="1"/>
    <col min="6" max="15" width="10.5703125" bestFit="1" customWidth="1"/>
  </cols>
  <sheetData>
    <row r="1" spans="1:28" ht="15.75" thickBot="1" x14ac:dyDescent="0.3">
      <c r="A1" s="35"/>
      <c r="B1" s="12" t="str">
        <f t="shared" ref="B1:O1" si="0">B31</f>
        <v>2011-12</v>
      </c>
      <c r="C1" s="12" t="str">
        <f t="shared" si="0"/>
        <v>2012-13</v>
      </c>
      <c r="D1" s="12" t="str">
        <f t="shared" si="0"/>
        <v>2013-14</v>
      </c>
      <c r="E1" s="12" t="str">
        <f t="shared" si="0"/>
        <v>2014-15</v>
      </c>
      <c r="F1" s="12" t="str">
        <f t="shared" si="0"/>
        <v>2015-16</v>
      </c>
      <c r="G1" s="12" t="str">
        <f t="shared" si="0"/>
        <v>2016-17</v>
      </c>
      <c r="H1" s="12" t="str">
        <f t="shared" si="0"/>
        <v>2017-18</v>
      </c>
      <c r="I1" s="12" t="str">
        <f t="shared" si="0"/>
        <v>2018-19</v>
      </c>
      <c r="J1" s="12" t="str">
        <f t="shared" si="0"/>
        <v>2019-20</v>
      </c>
      <c r="K1" s="12" t="str">
        <f t="shared" si="0"/>
        <v>2020-21</v>
      </c>
      <c r="L1" s="12" t="str">
        <f t="shared" si="0"/>
        <v>2021-22</v>
      </c>
      <c r="M1" s="12" t="str">
        <f t="shared" si="0"/>
        <v>2022-23</v>
      </c>
      <c r="N1" s="12" t="str">
        <f t="shared" si="0"/>
        <v>2023-24</v>
      </c>
      <c r="O1" s="12" t="str">
        <f t="shared" si="0"/>
        <v>2024-25</v>
      </c>
      <c r="Q1" s="48" t="s">
        <v>106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</row>
    <row r="2" spans="1:28" x14ac:dyDescent="0.25">
      <c r="A2" s="7" t="s">
        <v>25</v>
      </c>
      <c r="B2" s="14">
        <v>0.02</v>
      </c>
      <c r="C2" s="14">
        <v>0.02</v>
      </c>
      <c r="D2" s="14">
        <v>0.02</v>
      </c>
      <c r="E2" s="14">
        <v>0.02</v>
      </c>
      <c r="F2" s="14">
        <v>0.02</v>
      </c>
      <c r="G2" s="14">
        <v>0.02</v>
      </c>
      <c r="H2" s="14">
        <v>0.02</v>
      </c>
      <c r="I2" s="14">
        <v>0.02</v>
      </c>
      <c r="J2" s="14">
        <v>0.02</v>
      </c>
      <c r="K2" s="14">
        <v>0.02</v>
      </c>
      <c r="L2" s="14">
        <v>0.02</v>
      </c>
      <c r="M2" s="14">
        <v>0.02</v>
      </c>
      <c r="N2" s="14">
        <v>0.02</v>
      </c>
      <c r="O2" s="15">
        <v>0.02</v>
      </c>
      <c r="Q2" s="46" t="str">
        <f>D1</f>
        <v>2013-14</v>
      </c>
      <c r="R2" s="46" t="str">
        <f t="shared" ref="R2:AB2" si="1">E1</f>
        <v>2014-15</v>
      </c>
      <c r="S2" s="46" t="str">
        <f t="shared" si="1"/>
        <v>2015-16</v>
      </c>
      <c r="T2" s="46" t="str">
        <f t="shared" si="1"/>
        <v>2016-17</v>
      </c>
      <c r="U2" s="46" t="str">
        <f t="shared" si="1"/>
        <v>2017-18</v>
      </c>
      <c r="V2" s="46" t="str">
        <f t="shared" si="1"/>
        <v>2018-19</v>
      </c>
      <c r="W2" s="46" t="str">
        <f t="shared" si="1"/>
        <v>2019-20</v>
      </c>
      <c r="X2" s="46" t="str">
        <f t="shared" si="1"/>
        <v>2020-21</v>
      </c>
      <c r="Y2" s="46" t="str">
        <f t="shared" si="1"/>
        <v>2021-22</v>
      </c>
      <c r="Z2" s="46" t="str">
        <f t="shared" si="1"/>
        <v>2022-23</v>
      </c>
      <c r="AA2" s="46" t="str">
        <f t="shared" si="1"/>
        <v>2023-24</v>
      </c>
      <c r="AB2" s="46" t="str">
        <f t="shared" si="1"/>
        <v>2024-25</v>
      </c>
    </row>
    <row r="3" spans="1:28" ht="15.75" thickBot="1" x14ac:dyDescent="0.3">
      <c r="A3" s="10" t="s">
        <v>31</v>
      </c>
      <c r="B3" s="13">
        <f t="shared" ref="B3:D3" si="2">B40/B58</f>
        <v>0.53894690882458574</v>
      </c>
      <c r="C3" s="13">
        <f t="shared" si="2"/>
        <v>0.19715726214859663</v>
      </c>
      <c r="D3" s="13">
        <f t="shared" si="2"/>
        <v>0.15225346230149314</v>
      </c>
      <c r="E3" s="13">
        <f t="shared" ref="E3:O3" si="3">E40/E58</f>
        <v>2.1168808714195148E-2</v>
      </c>
      <c r="F3" s="13">
        <f t="shared" si="3"/>
        <v>1.2726652645938726E-2</v>
      </c>
      <c r="G3" s="13">
        <f t="shared" si="3"/>
        <v>8.5717138989369959E-3</v>
      </c>
      <c r="H3" s="13">
        <f t="shared" si="3"/>
        <v>7.233302806126646E-3</v>
      </c>
      <c r="I3" s="13">
        <f t="shared" si="3"/>
        <v>6.2337407352868997E-3</v>
      </c>
      <c r="J3" s="13">
        <f t="shared" si="3"/>
        <v>5.1659997075849222E-3</v>
      </c>
      <c r="K3" s="13">
        <f t="shared" si="3"/>
        <v>4.9637286710573119E-3</v>
      </c>
      <c r="L3" s="13">
        <f t="shared" si="3"/>
        <v>4.8826866056465128E-3</v>
      </c>
      <c r="M3" s="13">
        <f t="shared" si="3"/>
        <v>5.6780548255453709E-3</v>
      </c>
      <c r="N3" s="13">
        <f t="shared" si="3"/>
        <v>6.9848289939507344E-3</v>
      </c>
      <c r="O3" s="16">
        <f t="shared" si="3"/>
        <v>8.1286655467633154E-3</v>
      </c>
      <c r="Q3" s="42">
        <f>AVERAGE(B3:D3)</f>
        <v>0.29611921109155853</v>
      </c>
      <c r="R3" s="42">
        <f t="shared" ref="R3:AB3" si="4">AVERAGE(C3:E3)</f>
        <v>0.12352651105476165</v>
      </c>
      <c r="S3" s="42">
        <f t="shared" si="4"/>
        <v>6.2049641220542344E-2</v>
      </c>
      <c r="T3" s="42">
        <f t="shared" si="4"/>
        <v>1.4155725086356957E-2</v>
      </c>
      <c r="U3" s="42">
        <f t="shared" si="4"/>
        <v>9.5105564503341223E-3</v>
      </c>
      <c r="V3" s="42">
        <f t="shared" si="4"/>
        <v>7.3462524801168466E-3</v>
      </c>
      <c r="W3" s="42">
        <f t="shared" si="4"/>
        <v>6.2110144163328232E-3</v>
      </c>
      <c r="X3" s="42">
        <f t="shared" si="4"/>
        <v>5.4544897046430443E-3</v>
      </c>
      <c r="Y3" s="42">
        <f t="shared" si="4"/>
        <v>5.0041383280962489E-3</v>
      </c>
      <c r="Z3" s="42">
        <f t="shared" si="4"/>
        <v>5.1748233674163979E-3</v>
      </c>
      <c r="AA3" s="42">
        <f t="shared" si="4"/>
        <v>5.8485234750475399E-3</v>
      </c>
      <c r="AB3" s="42">
        <f t="shared" si="4"/>
        <v>6.9305164554198072E-3</v>
      </c>
    </row>
    <row r="5" spans="1:28" x14ac:dyDescent="0.25">
      <c r="C5" s="6"/>
    </row>
    <row r="30" spans="1:15" x14ac:dyDescent="0.25">
      <c r="B30" s="1" t="s">
        <v>3</v>
      </c>
      <c r="C30" s="1" t="s">
        <v>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3</v>
      </c>
    </row>
    <row r="31" spans="1:15" x14ac:dyDescent="0.25">
      <c r="B31" s="2" t="s">
        <v>18</v>
      </c>
      <c r="C31" s="2" t="s">
        <v>17</v>
      </c>
      <c r="D31" s="2" t="s">
        <v>16</v>
      </c>
      <c r="E31" s="2" t="s">
        <v>19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</row>
    <row r="32" spans="1:15" x14ac:dyDescent="0.25">
      <c r="A32" s="18" t="s">
        <v>96</v>
      </c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t="s">
        <v>99</v>
      </c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t="s">
        <v>100</v>
      </c>
      <c r="B34" s="3">
        <v>6100</v>
      </c>
      <c r="C34" s="3">
        <v>6490</v>
      </c>
      <c r="D34" s="3">
        <v>17545</v>
      </c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t="s">
        <v>101</v>
      </c>
      <c r="B35" s="3">
        <v>200</v>
      </c>
      <c r="C35" s="3">
        <v>1572</v>
      </c>
      <c r="D35" s="3">
        <v>13600</v>
      </c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t="s">
        <v>102</v>
      </c>
      <c r="B36" s="3">
        <v>70050</v>
      </c>
      <c r="C36" s="3">
        <v>26856</v>
      </c>
      <c r="D36" s="3">
        <v>28609</v>
      </c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t="s">
        <v>103</v>
      </c>
      <c r="B37" s="3">
        <v>181</v>
      </c>
      <c r="C37" s="3">
        <v>120</v>
      </c>
      <c r="D37" s="3">
        <v>4405</v>
      </c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t="s">
        <v>97</v>
      </c>
      <c r="B38" s="3"/>
      <c r="C38" s="3"/>
      <c r="D38" s="3"/>
      <c r="E38" s="3">
        <v>3673</v>
      </c>
      <c r="F38" s="3">
        <v>2239</v>
      </c>
      <c r="G38" s="3">
        <v>1545</v>
      </c>
      <c r="H38" s="3">
        <v>1319</v>
      </c>
      <c r="I38" s="3">
        <v>1143</v>
      </c>
      <c r="J38" s="3">
        <v>954</v>
      </c>
      <c r="K38" s="3">
        <v>921</v>
      </c>
      <c r="L38" s="3">
        <v>909</v>
      </c>
      <c r="M38" s="3">
        <v>1063</v>
      </c>
      <c r="N38" s="3">
        <v>1314</v>
      </c>
      <c r="O38" s="3">
        <f>M38/L38*N38</f>
        <v>1536.6138613861385</v>
      </c>
    </row>
    <row r="39" spans="1:15" ht="3" customHeight="1" x14ac:dyDescent="0.25"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B40" s="5">
        <f t="shared" ref="B40:O40" si="5">SUM(B32:B39)</f>
        <v>76531</v>
      </c>
      <c r="C40" s="5">
        <f t="shared" si="5"/>
        <v>35038</v>
      </c>
      <c r="D40" s="5">
        <f t="shared" si="5"/>
        <v>64159</v>
      </c>
      <c r="E40" s="5">
        <f t="shared" si="5"/>
        <v>3673</v>
      </c>
      <c r="F40" s="5">
        <f t="shared" si="5"/>
        <v>2239</v>
      </c>
      <c r="G40" s="5">
        <f t="shared" si="5"/>
        <v>1545</v>
      </c>
      <c r="H40" s="5">
        <f t="shared" si="5"/>
        <v>1319</v>
      </c>
      <c r="I40" s="5">
        <f t="shared" si="5"/>
        <v>1143</v>
      </c>
      <c r="J40" s="5">
        <f t="shared" si="5"/>
        <v>954</v>
      </c>
      <c r="K40" s="5">
        <f t="shared" si="5"/>
        <v>921</v>
      </c>
      <c r="L40" s="5">
        <f t="shared" si="5"/>
        <v>909</v>
      </c>
      <c r="M40" s="5">
        <f t="shared" si="5"/>
        <v>1063</v>
      </c>
      <c r="N40" s="5">
        <f t="shared" si="5"/>
        <v>1314</v>
      </c>
      <c r="O40" s="5">
        <f t="shared" si="5"/>
        <v>1536.6138613861385</v>
      </c>
    </row>
    <row r="41" spans="1:15" x14ac:dyDescent="0.25"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8" t="s">
        <v>98</v>
      </c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t="s">
        <v>99</v>
      </c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idden="1" x14ac:dyDescent="0.25">
      <c r="A44" t="s">
        <v>97</v>
      </c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idden="1" x14ac:dyDescent="0.25"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idden="1" x14ac:dyDescent="0.25"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idden="1" x14ac:dyDescent="0.25"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idden="1" x14ac:dyDescent="0.25"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idden="1" x14ac:dyDescent="0.25"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idden="1" x14ac:dyDescent="0.25"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idden="1" x14ac:dyDescent="0.25"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t="s">
        <v>100</v>
      </c>
      <c r="B52" s="3">
        <v>48352</v>
      </c>
      <c r="C52" s="3">
        <v>48456</v>
      </c>
      <c r="D52" s="3">
        <v>48242</v>
      </c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t="s">
        <v>101</v>
      </c>
      <c r="B53" s="3">
        <v>1848</v>
      </c>
      <c r="C53" s="3">
        <v>2090</v>
      </c>
      <c r="D53" s="3">
        <v>2621</v>
      </c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t="s">
        <v>102</v>
      </c>
      <c r="B54" s="3">
        <v>90102</v>
      </c>
      <c r="C54" s="3">
        <v>125495</v>
      </c>
      <c r="D54" s="3">
        <v>122602</v>
      </c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t="s">
        <v>103</v>
      </c>
      <c r="B55" s="3">
        <v>1699</v>
      </c>
      <c r="C55" s="3">
        <v>1675</v>
      </c>
      <c r="D55" s="3">
        <v>247931</v>
      </c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t="s">
        <v>97</v>
      </c>
      <c r="B56" s="3"/>
      <c r="C56" s="3"/>
      <c r="D56" s="3"/>
      <c r="E56" s="4">
        <v>173510</v>
      </c>
      <c r="F56" s="3">
        <v>175930</v>
      </c>
      <c r="G56" s="3">
        <v>180244</v>
      </c>
      <c r="H56" s="3">
        <v>182351</v>
      </c>
      <c r="I56" s="3">
        <v>183357</v>
      </c>
      <c r="J56" s="3">
        <v>184669</v>
      </c>
      <c r="K56" s="3">
        <v>185546</v>
      </c>
      <c r="L56" s="3">
        <v>186168</v>
      </c>
      <c r="M56" s="3">
        <v>187212</v>
      </c>
      <c r="N56" s="3">
        <v>188122</v>
      </c>
      <c r="O56" s="3">
        <f>N56/M56*N56</f>
        <v>189036.42332756449</v>
      </c>
    </row>
    <row r="57" spans="1:15" ht="3" customHeight="1" x14ac:dyDescent="0.25"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B58" s="5">
        <f t="shared" ref="B58:O58" si="6">SUM(B41:B57)</f>
        <v>142001</v>
      </c>
      <c r="C58" s="5">
        <f t="shared" si="6"/>
        <v>177716</v>
      </c>
      <c r="D58" s="5">
        <f t="shared" si="6"/>
        <v>421396</v>
      </c>
      <c r="E58" s="5">
        <f t="shared" si="6"/>
        <v>173510</v>
      </c>
      <c r="F58" s="5">
        <f t="shared" si="6"/>
        <v>175930</v>
      </c>
      <c r="G58" s="5">
        <f t="shared" si="6"/>
        <v>180244</v>
      </c>
      <c r="H58" s="5">
        <f t="shared" si="6"/>
        <v>182351</v>
      </c>
      <c r="I58" s="5">
        <f t="shared" si="6"/>
        <v>183357</v>
      </c>
      <c r="J58" s="5">
        <f t="shared" si="6"/>
        <v>184669</v>
      </c>
      <c r="K58" s="5">
        <f t="shared" si="6"/>
        <v>185546</v>
      </c>
      <c r="L58" s="5">
        <f t="shared" si="6"/>
        <v>186168</v>
      </c>
      <c r="M58" s="5">
        <f t="shared" si="6"/>
        <v>187212</v>
      </c>
      <c r="N58" s="5">
        <f t="shared" si="6"/>
        <v>188122</v>
      </c>
      <c r="O58" s="5">
        <f t="shared" si="6"/>
        <v>189036.42332756449</v>
      </c>
    </row>
    <row r="59" spans="1:15" x14ac:dyDescent="0.25">
      <c r="B59" s="3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B60" s="3"/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</sheetData>
  <mergeCells count="1">
    <mergeCell ref="Q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 Perf</vt:lpstr>
      <vt:lpstr>Own Source Rev</vt:lpstr>
      <vt:lpstr>Debt Service</vt:lpstr>
      <vt:lpstr>Op Exp Per Capita</vt:lpstr>
      <vt:lpstr>Asset Maint</vt:lpstr>
      <vt:lpstr>Asset Renewal</vt:lpstr>
      <vt:lpstr>Infra Backlog</vt:lpstr>
    </vt:vector>
  </TitlesOfParts>
  <Company>Lachlan 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Chapman</dc:creator>
  <cp:lastModifiedBy>Robert Hunt</cp:lastModifiedBy>
  <cp:lastPrinted>2015-06-18T05:45:00Z</cp:lastPrinted>
  <dcterms:created xsi:type="dcterms:W3CDTF">2015-02-05T03:47:22Z</dcterms:created>
  <dcterms:modified xsi:type="dcterms:W3CDTF">2015-06-25T23:28:42Z</dcterms:modified>
</cp:coreProperties>
</file>